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Data/itemProps1.xml" ContentType="application/vnd.ms-excel.customDataPropertie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2.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drawings/drawing4.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5.xml" ContentType="application/vnd.openxmlformats-officedocument.drawingml.chartshapes+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6.xml" ContentType="application/vnd.openxmlformats-officedocument.drawingml.chartshapes+xml"/>
  <Override PartName="/xl/charts/chart11.xml" ContentType="application/vnd.openxmlformats-officedocument.drawingml.chart+xml"/>
  <Override PartName="/xl/theme/themeOverride11.xml" ContentType="application/vnd.openxmlformats-officedocument.themeOverride+xml"/>
  <Override PartName="/xl/drawings/drawing7.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8.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9.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10.xml" ContentType="application/vnd.openxmlformats-officedocument.drawingml.chartshapes+xml"/>
  <Override PartName="/xl/charts/chart15.xml" ContentType="application/vnd.openxmlformats-officedocument.drawingml.chart+xml"/>
  <Override PartName="/xl/theme/themeOverride15.xml" ContentType="application/vnd.openxmlformats-officedocument.themeOverride+xml"/>
  <Override PartName="/xl/drawings/drawing11.xml" ContentType="application/vnd.openxmlformats-officedocument.drawingml.chartshapes+xml"/>
  <Override PartName="/xl/charts/chart16.xml" ContentType="application/vnd.openxmlformats-officedocument.drawingml.chart+xml"/>
  <Override PartName="/xl/theme/themeOverride16.xml" ContentType="application/vnd.openxmlformats-officedocument.themeOverride+xml"/>
  <Override PartName="/xl/drawings/drawing12.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3.xml" ContentType="application/vnd.openxmlformats-officedocument.drawing+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drawings/drawing14.xml" ContentType="application/vnd.openxmlformats-officedocument.drawing+xml"/>
  <Override PartName="/xl/charts/chart17.xml" ContentType="application/vnd.openxmlformats-officedocument.drawingml.chart+xml"/>
  <Override PartName="/xl/theme/themeOverride17.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workbookProtection workbookPassword="E879" lockStructure="1"/>
  <bookViews>
    <workbookView xWindow="0" yWindow="0" windowWidth="19200" windowHeight="6735"/>
  </bookViews>
  <sheets>
    <sheet name="Summary" sheetId="1" r:id="rId1"/>
    <sheet name="A&amp;E diverts" sheetId="3" state="hidden" r:id="rId2"/>
    <sheet name="G&amp;A bed avail." sheetId="12" state="hidden" r:id="rId3"/>
    <sheet name="G&amp;A bed occ." sheetId="4" state="hidden" r:id="rId4"/>
    <sheet name="Long stay" sheetId="5" state="hidden" r:id="rId5"/>
    <sheet name="D&amp;V" sheetId="6" state="hidden" r:id="rId6"/>
    <sheet name="Critical care" sheetId="8" state="hidden" r:id="rId7"/>
    <sheet name="PICU" sheetId="10" state="hidden" r:id="rId8"/>
    <sheet name="NICU" sheetId="11" state="hidden" r:id="rId9"/>
    <sheet name="Ambulance" sheetId="7" state="hidden" r:id="rId10"/>
    <sheet name="Sheet1" sheetId="13" state="hidden" r:id="rId11"/>
    <sheet name="Sheet2" sheetId="14" state="hidden" r:id="rId12"/>
    <sheet name="Sheet3" sheetId="15" state="hidden" r:id="rId13"/>
  </sheets>
  <calcPr calcId="145621"/>
  <pivotCaches>
    <pivotCache cacheId="295" r:id="rId14"/>
    <pivotCache cacheId="257" r:id="rId15"/>
    <pivotCache cacheId="258" r:id="rId16"/>
    <pivotCache cacheId="259" r:id="rId17"/>
    <pivotCache cacheId="260" r:id="rId18"/>
    <pivotCache cacheId="261" r:id="rId19"/>
    <pivotCache cacheId="262" r:id="rId20"/>
    <pivotCache cacheId="263" r:id="rId21"/>
    <pivotCache cacheId="264" r:id="rId22"/>
    <pivotCache cacheId="265" r:id="rId23"/>
    <pivotCache cacheId="266" r:id="rId24"/>
    <pivotCache cacheId="267" r:id="rId25"/>
    <pivotCache cacheId="268" r:id="rId26"/>
    <pivotCache cacheId="269" r:id="rId27"/>
    <pivotCache cacheId="270" r:id="rId28"/>
    <pivotCache cacheId="271" r:id="rId29"/>
    <pivotCache cacheId="272" r:id="rId30"/>
    <pivotCache cacheId="273" r:id="rId31"/>
    <pivotCache cacheId="274" r:id="rId32"/>
    <pivotCache cacheId="275" r:id="rId33"/>
    <pivotCache cacheId="276" r:id="rId34"/>
    <pivotCache cacheId="277" r:id="rId35"/>
    <pivotCache cacheId="278" r:id="rId36"/>
    <pivotCache cacheId="279" r:id="rId37"/>
    <pivotCache cacheId="280" r:id="rId38"/>
    <pivotCache cacheId="281" r:id="rId39"/>
    <pivotCache cacheId="282" r:id="rId40"/>
    <pivotCache cacheId="283" r:id="rId41"/>
    <pivotCache cacheId="284" r:id="rId42"/>
    <pivotCache cacheId="285" r:id="rId43"/>
    <pivotCache cacheId="286" r:id="rId44"/>
    <pivotCache cacheId="287" r:id="rId45"/>
    <pivotCache cacheId="288" r:id="rId46"/>
    <pivotCache cacheId="289" r:id="rId47"/>
    <pivotCache cacheId="290" r:id="rId48"/>
    <pivotCache cacheId="291" r:id="rId49"/>
    <pivotCache cacheId="292" r:id="rId50"/>
  </pivotCaches>
</workbook>
</file>

<file path=xl/calcChain.xml><?xml version="1.0" encoding="utf-8"?>
<calcChain xmlns="http://schemas.openxmlformats.org/spreadsheetml/2006/main">
  <c r="Q4" i="3" l="1"/>
  <c r="BT143" i="7" l="1"/>
  <c r="BD154" i="4"/>
  <c r="AU282" i="4"/>
  <c r="AU152" i="4"/>
  <c r="AU153" i="4"/>
  <c r="AU154" i="4"/>
  <c r="AU155" i="4"/>
  <c r="AU156" i="4"/>
  <c r="AU157" i="4"/>
  <c r="AU158" i="4"/>
  <c r="AU159" i="4"/>
  <c r="AU160" i="4"/>
  <c r="AU161" i="4"/>
  <c r="AU162" i="4"/>
  <c r="AU163" i="4"/>
  <c r="AU164" i="4"/>
  <c r="AU165" i="4"/>
  <c r="AU166" i="4"/>
  <c r="AU167" i="4"/>
  <c r="AU168" i="4"/>
  <c r="AU169" i="4"/>
  <c r="AU170" i="4"/>
  <c r="AU171" i="4"/>
  <c r="AU172" i="4"/>
  <c r="AU173" i="4"/>
  <c r="AU174" i="4"/>
  <c r="AU175" i="4"/>
  <c r="AU176" i="4"/>
  <c r="AU177" i="4"/>
  <c r="AU178" i="4"/>
  <c r="AU179" i="4"/>
  <c r="AU180" i="4"/>
  <c r="AU181" i="4"/>
  <c r="AU182" i="4"/>
  <c r="AU183" i="4"/>
  <c r="AU184" i="4"/>
  <c r="AU185" i="4"/>
  <c r="AU186" i="4"/>
  <c r="AU187" i="4"/>
  <c r="AU188" i="4"/>
  <c r="AU189" i="4"/>
  <c r="AU190" i="4"/>
  <c r="AU191" i="4"/>
  <c r="AU192" i="4"/>
  <c r="AU193" i="4"/>
  <c r="AU194" i="4"/>
  <c r="AU195" i="4"/>
  <c r="AU196" i="4"/>
  <c r="AU197" i="4"/>
  <c r="AU198" i="4"/>
  <c r="AU199" i="4"/>
  <c r="AU200" i="4"/>
  <c r="AU201" i="4"/>
  <c r="AU202" i="4"/>
  <c r="AU203" i="4"/>
  <c r="AU204" i="4"/>
  <c r="AU205" i="4"/>
  <c r="AU206" i="4"/>
  <c r="AU207" i="4"/>
  <c r="AU208" i="4"/>
  <c r="AU209" i="4"/>
  <c r="AU210" i="4"/>
  <c r="AU211" i="4"/>
  <c r="AU212" i="4"/>
  <c r="AU213" i="4"/>
  <c r="AU214" i="4"/>
  <c r="AU215" i="4"/>
  <c r="AU216" i="4"/>
  <c r="AU217" i="4"/>
  <c r="AU218" i="4"/>
  <c r="AU219" i="4"/>
  <c r="AU220" i="4"/>
  <c r="AU221" i="4"/>
  <c r="AU222" i="4"/>
  <c r="AU223" i="4"/>
  <c r="AU224" i="4"/>
  <c r="AU225" i="4"/>
  <c r="AU226" i="4"/>
  <c r="AU227" i="4"/>
  <c r="AU228" i="4"/>
  <c r="AU229" i="4"/>
  <c r="AU230" i="4"/>
  <c r="AU231" i="4"/>
  <c r="AU232" i="4"/>
  <c r="AU233" i="4"/>
  <c r="AU234" i="4"/>
  <c r="AU235" i="4"/>
  <c r="AU236" i="4"/>
  <c r="AU237" i="4"/>
  <c r="AU238" i="4"/>
  <c r="AU239" i="4"/>
  <c r="AU240" i="4"/>
  <c r="AU241" i="4"/>
  <c r="AU242" i="4"/>
  <c r="AU243" i="4"/>
  <c r="AU244" i="4"/>
  <c r="AU245" i="4"/>
  <c r="AU246" i="4"/>
  <c r="AU247" i="4"/>
  <c r="AU248" i="4"/>
  <c r="AU249" i="4"/>
  <c r="AU250" i="4"/>
  <c r="AU251" i="4"/>
  <c r="AU252" i="4"/>
  <c r="AU253" i="4"/>
  <c r="AU254" i="4"/>
  <c r="AU255" i="4"/>
  <c r="AU256" i="4"/>
  <c r="AU257" i="4"/>
  <c r="AU258" i="4"/>
  <c r="AU259" i="4"/>
  <c r="AU260" i="4"/>
  <c r="AU261" i="4"/>
  <c r="AU262" i="4"/>
  <c r="AU263" i="4"/>
  <c r="AU264" i="4"/>
  <c r="AU265" i="4"/>
  <c r="AU266" i="4"/>
  <c r="AU267" i="4"/>
  <c r="AU268" i="4"/>
  <c r="AU269" i="4"/>
  <c r="AU270" i="4"/>
  <c r="AU271" i="4"/>
  <c r="AU272" i="4"/>
  <c r="AU273" i="4"/>
  <c r="AU274" i="4"/>
  <c r="AU275" i="4"/>
  <c r="AU276" i="4"/>
  <c r="AU277" i="4"/>
  <c r="AU278" i="4"/>
  <c r="AU279" i="4"/>
  <c r="AU280" i="4"/>
  <c r="AU281" i="4"/>
  <c r="AU151" i="4"/>
  <c r="AN151" i="4"/>
  <c r="AU150" i="4" l="1"/>
  <c r="E12" i="11"/>
  <c r="E11" i="11"/>
  <c r="E10" i="11"/>
  <c r="E9" i="11"/>
  <c r="E7" i="11"/>
  <c r="E6" i="11"/>
  <c r="E13" i="11"/>
  <c r="AM433" i="4" l="1"/>
  <c r="AM434" i="4"/>
  <c r="AM435" i="4"/>
  <c r="AM436" i="4"/>
  <c r="AM437" i="4"/>
  <c r="AM438" i="4"/>
  <c r="AM439" i="4"/>
  <c r="AM440" i="4"/>
  <c r="AM441" i="4"/>
  <c r="AM442" i="4"/>
  <c r="AM443" i="4"/>
  <c r="AM444" i="4"/>
  <c r="AM445" i="4"/>
  <c r="AM446" i="4"/>
  <c r="AM447" i="4"/>
  <c r="AM448" i="4"/>
  <c r="AM449" i="4"/>
  <c r="AM450" i="4"/>
  <c r="AM451" i="4"/>
  <c r="AM452" i="4"/>
  <c r="AM453" i="4"/>
  <c r="AM454" i="4"/>
  <c r="AM455" i="4"/>
  <c r="AM456" i="4"/>
  <c r="AM457" i="4"/>
  <c r="AM458" i="4"/>
  <c r="AM459" i="4"/>
  <c r="AM460" i="4"/>
  <c r="AM461" i="4"/>
  <c r="AM462" i="4"/>
  <c r="AM463" i="4"/>
  <c r="AM464" i="4"/>
  <c r="AM465" i="4"/>
  <c r="AM466" i="4"/>
  <c r="AM467" i="4"/>
  <c r="AM468" i="4"/>
  <c r="AM469" i="4"/>
  <c r="AM470" i="4"/>
  <c r="AM471" i="4"/>
  <c r="AM472" i="4"/>
  <c r="AM473" i="4"/>
  <c r="AM474" i="4"/>
  <c r="AM475" i="4"/>
  <c r="AM476" i="4"/>
  <c r="AM477" i="4"/>
  <c r="AM478" i="4"/>
  <c r="AM479" i="4"/>
  <c r="AM480" i="4"/>
  <c r="AM481" i="4"/>
  <c r="AM482" i="4"/>
  <c r="AM483" i="4"/>
  <c r="AM484" i="4"/>
  <c r="AM485" i="4"/>
  <c r="AM486" i="4"/>
  <c r="AM487" i="4"/>
  <c r="AM488" i="4"/>
  <c r="AM489" i="4"/>
  <c r="AM490" i="4"/>
  <c r="AM491" i="4"/>
  <c r="AM492" i="4"/>
  <c r="AM493" i="4"/>
  <c r="AM494" i="4"/>
  <c r="AM495" i="4"/>
  <c r="AM496" i="4"/>
  <c r="AM497" i="4"/>
  <c r="AM498" i="4"/>
  <c r="AM499" i="4"/>
  <c r="AM500" i="4"/>
  <c r="AM501" i="4"/>
  <c r="AM502" i="4"/>
  <c r="AM503" i="4"/>
  <c r="AM504" i="4"/>
  <c r="AM505" i="4"/>
  <c r="AM506" i="4"/>
  <c r="AM507" i="4"/>
  <c r="AM508" i="4"/>
  <c r="AM509" i="4"/>
  <c r="AM510" i="4"/>
  <c r="AM511" i="4"/>
  <c r="AM512" i="4"/>
  <c r="AM513" i="4"/>
  <c r="AM514" i="4"/>
  <c r="AM515" i="4"/>
  <c r="AM516" i="4"/>
  <c r="AM517" i="4"/>
  <c r="AM518" i="4"/>
  <c r="AM519" i="4"/>
  <c r="AM520" i="4"/>
  <c r="AM521" i="4"/>
  <c r="AM522" i="4"/>
  <c r="AM523" i="4"/>
  <c r="AM524" i="4"/>
  <c r="AM525" i="4"/>
  <c r="AM526" i="4"/>
  <c r="AM527" i="4"/>
  <c r="AM528" i="4"/>
  <c r="AM529" i="4"/>
  <c r="AM530" i="4"/>
  <c r="AM531" i="4"/>
  <c r="AM532" i="4"/>
  <c r="AM533" i="4"/>
  <c r="AM534" i="4"/>
  <c r="AM535" i="4"/>
  <c r="AM536" i="4"/>
  <c r="AM537" i="4"/>
  <c r="AM538" i="4"/>
  <c r="AM539" i="4"/>
  <c r="AM540" i="4"/>
  <c r="AM541" i="4"/>
  <c r="AM542" i="4"/>
  <c r="AM543" i="4"/>
  <c r="AM544" i="4"/>
  <c r="AM545" i="4"/>
  <c r="AM546" i="4"/>
  <c r="AM547" i="4"/>
  <c r="AM548" i="4"/>
  <c r="AM549" i="4"/>
  <c r="AM550" i="4"/>
  <c r="AM551" i="4"/>
  <c r="AM552" i="4"/>
  <c r="AM553" i="4"/>
  <c r="AM554" i="4"/>
  <c r="AM555" i="4"/>
  <c r="AM556" i="4"/>
  <c r="AM557" i="4"/>
  <c r="AM558" i="4"/>
  <c r="AM559" i="4"/>
  <c r="AM560" i="4"/>
  <c r="AM561" i="4"/>
  <c r="AM562" i="4"/>
  <c r="AM563" i="4"/>
  <c r="AM564" i="4"/>
  <c r="AM292" i="4"/>
  <c r="AM293" i="4"/>
  <c r="AM294" i="4"/>
  <c r="AM295" i="4"/>
  <c r="AM296" i="4"/>
  <c r="AM297" i="4"/>
  <c r="AM298" i="4"/>
  <c r="AM299" i="4"/>
  <c r="AM300" i="4"/>
  <c r="AM301" i="4"/>
  <c r="AM302" i="4"/>
  <c r="AM303" i="4"/>
  <c r="AM304" i="4"/>
  <c r="AM305" i="4"/>
  <c r="AM306" i="4"/>
  <c r="AM307" i="4"/>
  <c r="AM308" i="4"/>
  <c r="AM309" i="4"/>
  <c r="AM310" i="4"/>
  <c r="AM311" i="4"/>
  <c r="AM312" i="4"/>
  <c r="AM313" i="4"/>
  <c r="AM314" i="4"/>
  <c r="AM315" i="4"/>
  <c r="AM316" i="4"/>
  <c r="AM317" i="4"/>
  <c r="AM318" i="4"/>
  <c r="AM319" i="4"/>
  <c r="AM320" i="4"/>
  <c r="AM321" i="4"/>
  <c r="AM322" i="4"/>
  <c r="AM323" i="4"/>
  <c r="AM324" i="4"/>
  <c r="AM325" i="4"/>
  <c r="AM326" i="4"/>
  <c r="AM327" i="4"/>
  <c r="AM328" i="4"/>
  <c r="AM329" i="4"/>
  <c r="AM330" i="4"/>
  <c r="AM331" i="4"/>
  <c r="AM332" i="4"/>
  <c r="AM333" i="4"/>
  <c r="AM334" i="4"/>
  <c r="AM335" i="4"/>
  <c r="AM336" i="4"/>
  <c r="AM337" i="4"/>
  <c r="AM338" i="4"/>
  <c r="AM339" i="4"/>
  <c r="AM340" i="4"/>
  <c r="AM341" i="4"/>
  <c r="AM342" i="4"/>
  <c r="AM343" i="4"/>
  <c r="AM344" i="4"/>
  <c r="AM345" i="4"/>
  <c r="AM346" i="4"/>
  <c r="AM347" i="4"/>
  <c r="AM348" i="4"/>
  <c r="AM349" i="4"/>
  <c r="AM350" i="4"/>
  <c r="AM351" i="4"/>
  <c r="AM352" i="4"/>
  <c r="AM353" i="4"/>
  <c r="AM354" i="4"/>
  <c r="AM355" i="4"/>
  <c r="AM356" i="4"/>
  <c r="AM357" i="4"/>
  <c r="AM358" i="4"/>
  <c r="AM359" i="4"/>
  <c r="AM360" i="4"/>
  <c r="AM361" i="4"/>
  <c r="AM362" i="4"/>
  <c r="AM363" i="4"/>
  <c r="AM364" i="4"/>
  <c r="AM365" i="4"/>
  <c r="AM366" i="4"/>
  <c r="AM367" i="4"/>
  <c r="AM368" i="4"/>
  <c r="AM369" i="4"/>
  <c r="AM370" i="4"/>
  <c r="AM371" i="4"/>
  <c r="AM372" i="4"/>
  <c r="AM373" i="4"/>
  <c r="AM374" i="4"/>
  <c r="AM375" i="4"/>
  <c r="AM376" i="4"/>
  <c r="AM377" i="4"/>
  <c r="AM378" i="4"/>
  <c r="AM379" i="4"/>
  <c r="AM380" i="4"/>
  <c r="AM381" i="4"/>
  <c r="AM382" i="4"/>
  <c r="AM383" i="4"/>
  <c r="AM384" i="4"/>
  <c r="AM385" i="4"/>
  <c r="AM386" i="4"/>
  <c r="AM387" i="4"/>
  <c r="AM388" i="4"/>
  <c r="AM389" i="4"/>
  <c r="AM390" i="4"/>
  <c r="AM391" i="4"/>
  <c r="AM392" i="4"/>
  <c r="AM393" i="4"/>
  <c r="AM394" i="4"/>
  <c r="AM395" i="4"/>
  <c r="AM396" i="4"/>
  <c r="AM397" i="4"/>
  <c r="AM398" i="4"/>
  <c r="AM399" i="4"/>
  <c r="AM400" i="4"/>
  <c r="AM401" i="4"/>
  <c r="AM402" i="4"/>
  <c r="AM403" i="4"/>
  <c r="AM404" i="4"/>
  <c r="AM405" i="4"/>
  <c r="AM406" i="4"/>
  <c r="AM407" i="4"/>
  <c r="AM408" i="4"/>
  <c r="AM409" i="4"/>
  <c r="AM410" i="4"/>
  <c r="AM411" i="4"/>
  <c r="AM412" i="4"/>
  <c r="AM413" i="4"/>
  <c r="AM414" i="4"/>
  <c r="AM415" i="4"/>
  <c r="AM416" i="4"/>
  <c r="AM417" i="4"/>
  <c r="AM418" i="4"/>
  <c r="AM419" i="4"/>
  <c r="AM420" i="4"/>
  <c r="AM421" i="4"/>
  <c r="AM422" i="4"/>
  <c r="AM423" i="4"/>
  <c r="AN158" i="4"/>
  <c r="AM151" i="4"/>
  <c r="AM152" i="4"/>
  <c r="AM153" i="4"/>
  <c r="AM154" i="4"/>
  <c r="AM155" i="4"/>
  <c r="AM156" i="4"/>
  <c r="AM157" i="4"/>
  <c r="AM158" i="4"/>
  <c r="AM159" i="4"/>
  <c r="AM160" i="4"/>
  <c r="AM161" i="4"/>
  <c r="AM162" i="4"/>
  <c r="AM163" i="4"/>
  <c r="AM164" i="4"/>
  <c r="AM165" i="4"/>
  <c r="AM166" i="4"/>
  <c r="AM167" i="4"/>
  <c r="AM168" i="4"/>
  <c r="AM169" i="4"/>
  <c r="AM170" i="4"/>
  <c r="AM171" i="4"/>
  <c r="AM172" i="4"/>
  <c r="AM173" i="4"/>
  <c r="AM174" i="4"/>
  <c r="AM175" i="4"/>
  <c r="AM176" i="4"/>
  <c r="AM177" i="4"/>
  <c r="AM178" i="4"/>
  <c r="AM179" i="4"/>
  <c r="AM180" i="4"/>
  <c r="AM181" i="4"/>
  <c r="AM182" i="4"/>
  <c r="AM183" i="4"/>
  <c r="AM184" i="4"/>
  <c r="AM185" i="4"/>
  <c r="AM186" i="4"/>
  <c r="AM187" i="4"/>
  <c r="AM188" i="4"/>
  <c r="AM189" i="4"/>
  <c r="AM190" i="4"/>
  <c r="AM191" i="4"/>
  <c r="AM192" i="4"/>
  <c r="AM193" i="4"/>
  <c r="AM194" i="4"/>
  <c r="AM195" i="4"/>
  <c r="AM196" i="4"/>
  <c r="AM197" i="4"/>
  <c r="AM198" i="4"/>
  <c r="AM199" i="4"/>
  <c r="AM200" i="4"/>
  <c r="AM201" i="4"/>
  <c r="AM202" i="4"/>
  <c r="AM203" i="4"/>
  <c r="AM204" i="4"/>
  <c r="AM205" i="4"/>
  <c r="AM206" i="4"/>
  <c r="AM207" i="4"/>
  <c r="AM208" i="4"/>
  <c r="AM209" i="4"/>
  <c r="AM210" i="4"/>
  <c r="AM211" i="4"/>
  <c r="AM212" i="4"/>
  <c r="AM213" i="4"/>
  <c r="AM214" i="4"/>
  <c r="AM215" i="4"/>
  <c r="AM216" i="4"/>
  <c r="AM217" i="4"/>
  <c r="AM218" i="4"/>
  <c r="AM219" i="4"/>
  <c r="AM220" i="4"/>
  <c r="AM221" i="4"/>
  <c r="AM222" i="4"/>
  <c r="AM223" i="4"/>
  <c r="AM224" i="4"/>
  <c r="AM225" i="4"/>
  <c r="AM226" i="4"/>
  <c r="AM227" i="4"/>
  <c r="AM228" i="4"/>
  <c r="AM229" i="4"/>
  <c r="AM230" i="4"/>
  <c r="AM231" i="4"/>
  <c r="AM232" i="4"/>
  <c r="AM233" i="4"/>
  <c r="AM234" i="4"/>
  <c r="AM235" i="4"/>
  <c r="AM236" i="4"/>
  <c r="AM237" i="4"/>
  <c r="AM238" i="4"/>
  <c r="AM239" i="4"/>
  <c r="AM240" i="4"/>
  <c r="AM241" i="4"/>
  <c r="AM242" i="4"/>
  <c r="AM243" i="4"/>
  <c r="AM244" i="4"/>
  <c r="AM245" i="4"/>
  <c r="AM246" i="4"/>
  <c r="AM247" i="4"/>
  <c r="AM248" i="4"/>
  <c r="AM249" i="4"/>
  <c r="AM250" i="4"/>
  <c r="AM251" i="4"/>
  <c r="AM252" i="4"/>
  <c r="AM253" i="4"/>
  <c r="AM254" i="4"/>
  <c r="AM255" i="4"/>
  <c r="AM256" i="4"/>
  <c r="AM257" i="4"/>
  <c r="AM258" i="4"/>
  <c r="AM259" i="4"/>
  <c r="AM260" i="4"/>
  <c r="AM261" i="4"/>
  <c r="AM262" i="4"/>
  <c r="AM263" i="4"/>
  <c r="AM264" i="4"/>
  <c r="AM265" i="4"/>
  <c r="AM266" i="4"/>
  <c r="AM267" i="4"/>
  <c r="AM268" i="4"/>
  <c r="AM269" i="4"/>
  <c r="AM270" i="4"/>
  <c r="AM271" i="4"/>
  <c r="AM272" i="4"/>
  <c r="AM273" i="4"/>
  <c r="AM274" i="4"/>
  <c r="AM275" i="4"/>
  <c r="AM276" i="4"/>
  <c r="AM277" i="4"/>
  <c r="AM278" i="4"/>
  <c r="AM279" i="4"/>
  <c r="AM280" i="4"/>
  <c r="AM281" i="4"/>
  <c r="AM282" i="4"/>
  <c r="CB144" i="6"/>
  <c r="BN8" i="8"/>
  <c r="F162" i="1" s="1"/>
  <c r="AD5" i="3"/>
  <c r="AD6" i="3" s="1"/>
  <c r="AD7" i="3" s="1"/>
  <c r="BL143" i="7"/>
  <c r="BA28" i="7"/>
  <c r="I247" i="1" s="1"/>
  <c r="BE24" i="7"/>
  <c r="E253" i="1" s="1"/>
  <c r="BE25" i="7"/>
  <c r="F253" i="1" s="1"/>
  <c r="BE26" i="7"/>
  <c r="G253" i="1" s="1"/>
  <c r="BE27" i="7"/>
  <c r="H253" i="1" s="1"/>
  <c r="BE28" i="7"/>
  <c r="I253" i="1" s="1"/>
  <c r="BE29" i="7"/>
  <c r="J253" i="1" s="1"/>
  <c r="BE30" i="7"/>
  <c r="K253" i="1" s="1"/>
  <c r="BE31" i="7"/>
  <c r="L253" i="1" s="1"/>
  <c r="BE32" i="7"/>
  <c r="M253" i="1" s="1"/>
  <c r="BE33" i="7"/>
  <c r="N253" i="1" s="1"/>
  <c r="BE34" i="7"/>
  <c r="O253" i="1" s="1"/>
  <c r="BE35" i="7"/>
  <c r="P253" i="1" s="1"/>
  <c r="BD24" i="7"/>
  <c r="E252" i="1" s="1"/>
  <c r="BD25" i="7"/>
  <c r="F252" i="1" s="1"/>
  <c r="BD26" i="7"/>
  <c r="G252" i="1" s="1"/>
  <c r="BD27" i="7"/>
  <c r="H252" i="1" s="1"/>
  <c r="BD28" i="7"/>
  <c r="I252" i="1" s="1"/>
  <c r="BD29" i="7"/>
  <c r="J252" i="1" s="1"/>
  <c r="BD30" i="7"/>
  <c r="K252" i="1" s="1"/>
  <c r="BD31" i="7"/>
  <c r="L252" i="1" s="1"/>
  <c r="BD32" i="7"/>
  <c r="M252" i="1" s="1"/>
  <c r="BD33" i="7"/>
  <c r="N252" i="1" s="1"/>
  <c r="BD34" i="7"/>
  <c r="O252" i="1" s="1"/>
  <c r="BD35" i="7"/>
  <c r="P252" i="1" s="1"/>
  <c r="BG24" i="7"/>
  <c r="E251" i="1" s="1"/>
  <c r="BG25" i="7"/>
  <c r="F251" i="1" s="1"/>
  <c r="BG26" i="7"/>
  <c r="G251" i="1" s="1"/>
  <c r="BG27" i="7"/>
  <c r="H251" i="1" s="1"/>
  <c r="BG28" i="7"/>
  <c r="I251" i="1" s="1"/>
  <c r="BG29" i="7"/>
  <c r="J251" i="1" s="1"/>
  <c r="BG30" i="7"/>
  <c r="K251" i="1" s="1"/>
  <c r="BG31" i="7"/>
  <c r="L251" i="1" s="1"/>
  <c r="BG32" i="7"/>
  <c r="M251" i="1" s="1"/>
  <c r="BG33" i="7"/>
  <c r="N251" i="1" s="1"/>
  <c r="BG34" i="7"/>
  <c r="O251" i="1" s="1"/>
  <c r="BG35" i="7"/>
  <c r="P251" i="1" s="1"/>
  <c r="BG23" i="7"/>
  <c r="D251" i="1" s="1"/>
  <c r="BC24" i="7"/>
  <c r="E250" i="1" s="1"/>
  <c r="BC25" i="7"/>
  <c r="F250" i="1" s="1"/>
  <c r="BC26" i="7"/>
  <c r="G250" i="1" s="1"/>
  <c r="BC27" i="7"/>
  <c r="H250" i="1" s="1"/>
  <c r="BC28" i="7"/>
  <c r="I250" i="1" s="1"/>
  <c r="BC29" i="7"/>
  <c r="J250" i="1" s="1"/>
  <c r="BC30" i="7"/>
  <c r="K250" i="1" s="1"/>
  <c r="BC31" i="7"/>
  <c r="L250" i="1" s="1"/>
  <c r="BC32" i="7"/>
  <c r="M250" i="1" s="1"/>
  <c r="BC33" i="7"/>
  <c r="N250" i="1" s="1"/>
  <c r="BC34" i="7"/>
  <c r="O250" i="1" s="1"/>
  <c r="BC35" i="7"/>
  <c r="P250" i="1" s="1"/>
  <c r="BF24" i="7"/>
  <c r="E249" i="1" s="1"/>
  <c r="BF25" i="7"/>
  <c r="F249" i="1" s="1"/>
  <c r="BF26" i="7"/>
  <c r="G249" i="1" s="1"/>
  <c r="BF27" i="7"/>
  <c r="H249" i="1" s="1"/>
  <c r="BF28" i="7"/>
  <c r="I249" i="1" s="1"/>
  <c r="BF29" i="7"/>
  <c r="J249" i="1" s="1"/>
  <c r="BF30" i="7"/>
  <c r="K249" i="1" s="1"/>
  <c r="BF31" i="7"/>
  <c r="L249" i="1" s="1"/>
  <c r="BF32" i="7"/>
  <c r="M249" i="1" s="1"/>
  <c r="BF33" i="7"/>
  <c r="N249" i="1" s="1"/>
  <c r="BF34" i="7"/>
  <c r="O249" i="1" s="1"/>
  <c r="BF35" i="7"/>
  <c r="P249" i="1" s="1"/>
  <c r="BC23" i="7"/>
  <c r="D250" i="1" s="1"/>
  <c r="BF23" i="7"/>
  <c r="D249" i="1" s="1"/>
  <c r="BB24" i="7"/>
  <c r="E248" i="1" s="1"/>
  <c r="BB25" i="7"/>
  <c r="F248" i="1" s="1"/>
  <c r="BB26" i="7"/>
  <c r="G248" i="1" s="1"/>
  <c r="BB27" i="7"/>
  <c r="H248" i="1" s="1"/>
  <c r="BB28" i="7"/>
  <c r="I248" i="1" s="1"/>
  <c r="BB29" i="7"/>
  <c r="J248" i="1" s="1"/>
  <c r="BB30" i="7"/>
  <c r="K248" i="1" s="1"/>
  <c r="BB31" i="7"/>
  <c r="L248" i="1" s="1"/>
  <c r="BB32" i="7"/>
  <c r="M248" i="1" s="1"/>
  <c r="BB33" i="7"/>
  <c r="N248" i="1" s="1"/>
  <c r="BB34" i="7"/>
  <c r="O248" i="1" s="1"/>
  <c r="BB35" i="7"/>
  <c r="P248" i="1" s="1"/>
  <c r="BA24" i="7"/>
  <c r="E247" i="1" s="1"/>
  <c r="BA25" i="7"/>
  <c r="F247" i="1" s="1"/>
  <c r="BA26" i="7"/>
  <c r="G247" i="1" s="1"/>
  <c r="BA27" i="7"/>
  <c r="H247" i="1" s="1"/>
  <c r="BA29" i="7"/>
  <c r="J247" i="1" s="1"/>
  <c r="BA30" i="7"/>
  <c r="K247" i="1" s="1"/>
  <c r="BA31" i="7"/>
  <c r="L247" i="1" s="1"/>
  <c r="BA32" i="7"/>
  <c r="M247" i="1" s="1"/>
  <c r="BA33" i="7"/>
  <c r="N247" i="1" s="1"/>
  <c r="BA34" i="7"/>
  <c r="O247" i="1" s="1"/>
  <c r="BA35" i="7"/>
  <c r="P247" i="1" s="1"/>
  <c r="AZ24" i="7"/>
  <c r="E246" i="1" s="1"/>
  <c r="AZ25" i="7"/>
  <c r="F246" i="1" s="1"/>
  <c r="AZ26" i="7"/>
  <c r="G246" i="1" s="1"/>
  <c r="AZ27" i="7"/>
  <c r="H246" i="1" s="1"/>
  <c r="AZ28" i="7"/>
  <c r="I246" i="1" s="1"/>
  <c r="AZ29" i="7"/>
  <c r="J246" i="1" s="1"/>
  <c r="AZ30" i="7"/>
  <c r="K246" i="1" s="1"/>
  <c r="AZ31" i="7"/>
  <c r="L246" i="1" s="1"/>
  <c r="AZ32" i="7"/>
  <c r="M246" i="1" s="1"/>
  <c r="AZ33" i="7"/>
  <c r="N246" i="1" s="1"/>
  <c r="AZ34" i="7"/>
  <c r="O246" i="1" s="1"/>
  <c r="AZ35" i="7"/>
  <c r="P246" i="1" s="1"/>
  <c r="AZ23" i="7"/>
  <c r="D246" i="1" s="1"/>
  <c r="BE23" i="7"/>
  <c r="D253" i="1" s="1"/>
  <c r="BD23" i="7"/>
  <c r="D252" i="1" s="1"/>
  <c r="BB23" i="7"/>
  <c r="D248" i="1" s="1"/>
  <c r="BA23" i="7"/>
  <c r="D247" i="1" s="1"/>
  <c r="BD7" i="7"/>
  <c r="E240" i="1" s="1"/>
  <c r="BD8" i="7"/>
  <c r="F240" i="1" s="1"/>
  <c r="BD9" i="7"/>
  <c r="G240" i="1" s="1"/>
  <c r="BD10" i="7"/>
  <c r="H240" i="1" s="1"/>
  <c r="BD11" i="7"/>
  <c r="I240" i="1" s="1"/>
  <c r="BD12" i="7"/>
  <c r="J240" i="1" s="1"/>
  <c r="BD13" i="7"/>
  <c r="K240" i="1" s="1"/>
  <c r="BD14" i="7"/>
  <c r="L240" i="1" s="1"/>
  <c r="BD15" i="7"/>
  <c r="M240" i="1" s="1"/>
  <c r="BD16" i="7"/>
  <c r="N240" i="1" s="1"/>
  <c r="BD17" i="7"/>
  <c r="O240" i="1" s="1"/>
  <c r="BD18" i="7"/>
  <c r="P240" i="1" s="1"/>
  <c r="BE18" i="7"/>
  <c r="P241" i="1" s="1"/>
  <c r="BE7" i="7"/>
  <c r="E241" i="1" s="1"/>
  <c r="BE8" i="7"/>
  <c r="F241" i="1" s="1"/>
  <c r="BE9" i="7"/>
  <c r="G241" i="1" s="1"/>
  <c r="BE10" i="7"/>
  <c r="H241" i="1" s="1"/>
  <c r="BE11" i="7"/>
  <c r="I241" i="1" s="1"/>
  <c r="BE12" i="7"/>
  <c r="J241" i="1" s="1"/>
  <c r="BE13" i="7"/>
  <c r="K241" i="1" s="1"/>
  <c r="BE14" i="7"/>
  <c r="L241" i="1" s="1"/>
  <c r="BE15" i="7"/>
  <c r="M241" i="1" s="1"/>
  <c r="BE16" i="7"/>
  <c r="N241" i="1" s="1"/>
  <c r="BE17" i="7"/>
  <c r="O241" i="1" s="1"/>
  <c r="BC7" i="7"/>
  <c r="E238" i="1" s="1"/>
  <c r="BC8" i="7"/>
  <c r="F238" i="1" s="1"/>
  <c r="BC9" i="7"/>
  <c r="G238" i="1" s="1"/>
  <c r="BC10" i="7"/>
  <c r="H238" i="1" s="1"/>
  <c r="BC11" i="7"/>
  <c r="I238" i="1" s="1"/>
  <c r="BC12" i="7"/>
  <c r="J238" i="1" s="1"/>
  <c r="BC13" i="7"/>
  <c r="K238" i="1" s="1"/>
  <c r="BC14" i="7"/>
  <c r="L238" i="1" s="1"/>
  <c r="BC15" i="7"/>
  <c r="M238" i="1" s="1"/>
  <c r="BC16" i="7"/>
  <c r="N238" i="1" s="1"/>
  <c r="BC17" i="7"/>
  <c r="O238" i="1" s="1"/>
  <c r="BC18" i="7"/>
  <c r="P238" i="1" s="1"/>
  <c r="BG7" i="7"/>
  <c r="E239" i="1" s="1"/>
  <c r="BG8" i="7"/>
  <c r="F239" i="1" s="1"/>
  <c r="BG9" i="7"/>
  <c r="G239" i="1" s="1"/>
  <c r="BG10" i="7"/>
  <c r="H239" i="1" s="1"/>
  <c r="BG11" i="7"/>
  <c r="I239" i="1" s="1"/>
  <c r="BG12" i="7"/>
  <c r="J239" i="1" s="1"/>
  <c r="BG13" i="7"/>
  <c r="K239" i="1" s="1"/>
  <c r="BG14" i="7"/>
  <c r="L239" i="1" s="1"/>
  <c r="BG15" i="7"/>
  <c r="M239" i="1" s="1"/>
  <c r="BG16" i="7"/>
  <c r="N239" i="1" s="1"/>
  <c r="BG17" i="7"/>
  <c r="O239" i="1" s="1"/>
  <c r="BG18" i="7"/>
  <c r="P239" i="1" s="1"/>
  <c r="BG6" i="7"/>
  <c r="D239" i="1" s="1"/>
  <c r="BC6" i="7"/>
  <c r="D238" i="1" s="1"/>
  <c r="BF7" i="7"/>
  <c r="E237" i="1" s="1"/>
  <c r="BF8" i="7"/>
  <c r="F237" i="1" s="1"/>
  <c r="BF9" i="7"/>
  <c r="G237" i="1" s="1"/>
  <c r="BF10" i="7"/>
  <c r="H237" i="1" s="1"/>
  <c r="BF11" i="7"/>
  <c r="I237" i="1" s="1"/>
  <c r="BF12" i="7"/>
  <c r="J237" i="1" s="1"/>
  <c r="BF13" i="7"/>
  <c r="K237" i="1" s="1"/>
  <c r="BF14" i="7"/>
  <c r="L237" i="1" s="1"/>
  <c r="BF15" i="7"/>
  <c r="M237" i="1" s="1"/>
  <c r="BF16" i="7"/>
  <c r="N237" i="1" s="1"/>
  <c r="BF17" i="7"/>
  <c r="O237" i="1" s="1"/>
  <c r="BF18" i="7"/>
  <c r="P237" i="1" s="1"/>
  <c r="BF6" i="7"/>
  <c r="D237" i="1" s="1"/>
  <c r="BB7" i="7"/>
  <c r="E236" i="1" s="1"/>
  <c r="BB8" i="7"/>
  <c r="F236" i="1" s="1"/>
  <c r="BB9" i="7"/>
  <c r="G236" i="1" s="1"/>
  <c r="BB10" i="7"/>
  <c r="H236" i="1" s="1"/>
  <c r="BB11" i="7"/>
  <c r="I236" i="1" s="1"/>
  <c r="BB12" i="7"/>
  <c r="J236" i="1" s="1"/>
  <c r="BB13" i="7"/>
  <c r="K236" i="1" s="1"/>
  <c r="BB14" i="7"/>
  <c r="L236" i="1" s="1"/>
  <c r="BB15" i="7"/>
  <c r="M236" i="1" s="1"/>
  <c r="BB16" i="7"/>
  <c r="N236" i="1" s="1"/>
  <c r="BB17" i="7"/>
  <c r="O236" i="1" s="1"/>
  <c r="BB18" i="7"/>
  <c r="P236" i="1" s="1"/>
  <c r="BA7" i="7"/>
  <c r="E235" i="1" s="1"/>
  <c r="BA8" i="7"/>
  <c r="F235" i="1" s="1"/>
  <c r="BA9" i="7"/>
  <c r="G235" i="1" s="1"/>
  <c r="BA10" i="7"/>
  <c r="H235" i="1" s="1"/>
  <c r="BA11" i="7"/>
  <c r="I235" i="1" s="1"/>
  <c r="BA12" i="7"/>
  <c r="J235" i="1" s="1"/>
  <c r="BA13" i="7"/>
  <c r="K235" i="1" s="1"/>
  <c r="BA14" i="7"/>
  <c r="L235" i="1" s="1"/>
  <c r="BA15" i="7"/>
  <c r="M235" i="1" s="1"/>
  <c r="BA16" i="7"/>
  <c r="N235" i="1" s="1"/>
  <c r="BA17" i="7"/>
  <c r="O235" i="1" s="1"/>
  <c r="BA18" i="7"/>
  <c r="P235" i="1" s="1"/>
  <c r="BA6" i="7"/>
  <c r="D235" i="1" s="1"/>
  <c r="AZ18" i="7"/>
  <c r="P234" i="1" s="1"/>
  <c r="AZ7" i="7"/>
  <c r="E234" i="1" s="1"/>
  <c r="AZ8" i="7"/>
  <c r="F234" i="1" s="1"/>
  <c r="AZ9" i="7"/>
  <c r="G234" i="1" s="1"/>
  <c r="AZ10" i="7"/>
  <c r="H234" i="1" s="1"/>
  <c r="AZ11" i="7"/>
  <c r="I234" i="1" s="1"/>
  <c r="AZ12" i="7"/>
  <c r="J234" i="1" s="1"/>
  <c r="AZ13" i="7"/>
  <c r="K234" i="1" s="1"/>
  <c r="AZ14" i="7"/>
  <c r="L234" i="1" s="1"/>
  <c r="AZ15" i="7"/>
  <c r="M234" i="1" s="1"/>
  <c r="AZ16" i="7"/>
  <c r="N234" i="1" s="1"/>
  <c r="AZ17" i="7"/>
  <c r="O234" i="1" s="1"/>
  <c r="AZ6" i="7"/>
  <c r="D234" i="1" s="1"/>
  <c r="BE6" i="7"/>
  <c r="D241" i="1" s="1"/>
  <c r="BD6" i="7"/>
  <c r="D240" i="1" s="1"/>
  <c r="BB6" i="7"/>
  <c r="D236" i="1" s="1"/>
  <c r="R5" i="7"/>
  <c r="E228" i="1" s="1"/>
  <c r="R6" i="7"/>
  <c r="F228" i="1" s="1"/>
  <c r="R7" i="7"/>
  <c r="G228" i="1" s="1"/>
  <c r="R8" i="7"/>
  <c r="H228" i="1" s="1"/>
  <c r="R9" i="7"/>
  <c r="I228" i="1" s="1"/>
  <c r="R10" i="7"/>
  <c r="J228" i="1" s="1"/>
  <c r="R11" i="7"/>
  <c r="K228" i="1" s="1"/>
  <c r="R12" i="7"/>
  <c r="L228" i="1" s="1"/>
  <c r="R13" i="7"/>
  <c r="M228" i="1" s="1"/>
  <c r="R14" i="7"/>
  <c r="N228" i="1" s="1"/>
  <c r="R15" i="7"/>
  <c r="O228" i="1" s="1"/>
  <c r="R16" i="7"/>
  <c r="P228" i="1" s="1"/>
  <c r="S5" i="7"/>
  <c r="E229" i="1" s="1"/>
  <c r="S6" i="7"/>
  <c r="F229" i="1" s="1"/>
  <c r="S7" i="7"/>
  <c r="G229" i="1" s="1"/>
  <c r="S8" i="7"/>
  <c r="H229" i="1" s="1"/>
  <c r="S9" i="7"/>
  <c r="I229" i="1" s="1"/>
  <c r="S10" i="7"/>
  <c r="J229" i="1" s="1"/>
  <c r="S11" i="7"/>
  <c r="K229" i="1" s="1"/>
  <c r="S12" i="7"/>
  <c r="L229" i="1" s="1"/>
  <c r="S13" i="7"/>
  <c r="M229" i="1" s="1"/>
  <c r="S14" i="7"/>
  <c r="N229" i="1" s="1"/>
  <c r="S15" i="7"/>
  <c r="O229" i="1" s="1"/>
  <c r="S16" i="7"/>
  <c r="P229" i="1" s="1"/>
  <c r="U5" i="7"/>
  <c r="E227" i="1" s="1"/>
  <c r="U6" i="7"/>
  <c r="F227" i="1" s="1"/>
  <c r="U7" i="7"/>
  <c r="G227" i="1" s="1"/>
  <c r="U8" i="7"/>
  <c r="H227" i="1" s="1"/>
  <c r="U9" i="7"/>
  <c r="I227" i="1" s="1"/>
  <c r="U10" i="7"/>
  <c r="J227" i="1" s="1"/>
  <c r="U11" i="7"/>
  <c r="K227" i="1" s="1"/>
  <c r="U12" i="7"/>
  <c r="L227" i="1" s="1"/>
  <c r="U13" i="7"/>
  <c r="M227" i="1" s="1"/>
  <c r="U14" i="7"/>
  <c r="N227" i="1" s="1"/>
  <c r="U15" i="7"/>
  <c r="O227" i="1" s="1"/>
  <c r="U16" i="7"/>
  <c r="P227" i="1" s="1"/>
  <c r="U4" i="7"/>
  <c r="D227" i="1" s="1"/>
  <c r="Q5" i="7"/>
  <c r="E226" i="1" s="1"/>
  <c r="Q6" i="7"/>
  <c r="F226" i="1" s="1"/>
  <c r="Q7" i="7"/>
  <c r="G226" i="1" s="1"/>
  <c r="Q8" i="7"/>
  <c r="H226" i="1" s="1"/>
  <c r="Q9" i="7"/>
  <c r="I226" i="1" s="1"/>
  <c r="Q10" i="7"/>
  <c r="J226" i="1" s="1"/>
  <c r="Q11" i="7"/>
  <c r="K226" i="1" s="1"/>
  <c r="Q12" i="7"/>
  <c r="L226" i="1" s="1"/>
  <c r="Q13" i="7"/>
  <c r="M226" i="1" s="1"/>
  <c r="Q14" i="7"/>
  <c r="N226" i="1" s="1"/>
  <c r="Q15" i="7"/>
  <c r="O226" i="1" s="1"/>
  <c r="Q16" i="7"/>
  <c r="P226" i="1" s="1"/>
  <c r="Q4" i="7"/>
  <c r="D226" i="1" s="1"/>
  <c r="T5" i="7"/>
  <c r="E225" i="1" s="1"/>
  <c r="T6" i="7"/>
  <c r="F225" i="1" s="1"/>
  <c r="T7" i="7"/>
  <c r="G225" i="1" s="1"/>
  <c r="T8" i="7"/>
  <c r="H225" i="1" s="1"/>
  <c r="T9" i="7"/>
  <c r="I225" i="1" s="1"/>
  <c r="T10" i="7"/>
  <c r="J225" i="1" s="1"/>
  <c r="T11" i="7"/>
  <c r="K225" i="1" s="1"/>
  <c r="T12" i="7"/>
  <c r="L225" i="1" s="1"/>
  <c r="T13" i="7"/>
  <c r="M225" i="1" s="1"/>
  <c r="T14" i="7"/>
  <c r="N225" i="1" s="1"/>
  <c r="T15" i="7"/>
  <c r="O225" i="1" s="1"/>
  <c r="T16" i="7"/>
  <c r="P225" i="1" s="1"/>
  <c r="T4" i="7"/>
  <c r="D225" i="1" s="1"/>
  <c r="P5" i="7"/>
  <c r="E224" i="1" s="1"/>
  <c r="P6" i="7"/>
  <c r="F224" i="1" s="1"/>
  <c r="P7" i="7"/>
  <c r="G224" i="1" s="1"/>
  <c r="P8" i="7"/>
  <c r="H224" i="1" s="1"/>
  <c r="P9" i="7"/>
  <c r="I224" i="1" s="1"/>
  <c r="P10" i="7"/>
  <c r="J224" i="1" s="1"/>
  <c r="P11" i="7"/>
  <c r="K224" i="1" s="1"/>
  <c r="P12" i="7"/>
  <c r="L224" i="1" s="1"/>
  <c r="P13" i="7"/>
  <c r="M224" i="1" s="1"/>
  <c r="P14" i="7"/>
  <c r="N224" i="1" s="1"/>
  <c r="P15" i="7"/>
  <c r="O224" i="1" s="1"/>
  <c r="P16" i="7"/>
  <c r="P224" i="1" s="1"/>
  <c r="O4" i="7"/>
  <c r="D223" i="1" s="1"/>
  <c r="O5" i="7"/>
  <c r="E223" i="1" s="1"/>
  <c r="O6" i="7"/>
  <c r="F223" i="1" s="1"/>
  <c r="O7" i="7"/>
  <c r="G223" i="1" s="1"/>
  <c r="O8" i="7"/>
  <c r="H223" i="1" s="1"/>
  <c r="O9" i="7"/>
  <c r="I223" i="1" s="1"/>
  <c r="O10" i="7"/>
  <c r="J223" i="1" s="1"/>
  <c r="O11" i="7"/>
  <c r="K223" i="1" s="1"/>
  <c r="O12" i="7"/>
  <c r="L223" i="1" s="1"/>
  <c r="O13" i="7"/>
  <c r="M223" i="1" s="1"/>
  <c r="O14" i="7"/>
  <c r="N223" i="1" s="1"/>
  <c r="O15" i="7"/>
  <c r="O223" i="1" s="1"/>
  <c r="O16" i="7"/>
  <c r="P223" i="1" s="1"/>
  <c r="N16" i="7"/>
  <c r="P222" i="1" s="1"/>
  <c r="N15" i="7"/>
  <c r="O222" i="1" s="1"/>
  <c r="N14" i="7"/>
  <c r="N222" i="1" s="1"/>
  <c r="N13" i="7"/>
  <c r="M222" i="1" s="1"/>
  <c r="N12" i="7"/>
  <c r="L222" i="1" s="1"/>
  <c r="N11" i="7"/>
  <c r="K222" i="1" s="1"/>
  <c r="N10" i="7"/>
  <c r="J222" i="1" s="1"/>
  <c r="N9" i="7"/>
  <c r="I222" i="1" s="1"/>
  <c r="N8" i="7"/>
  <c r="H222" i="1" s="1"/>
  <c r="N7" i="7"/>
  <c r="G222" i="1" s="1"/>
  <c r="N6" i="7"/>
  <c r="F222" i="1" s="1"/>
  <c r="N5" i="7"/>
  <c r="E222" i="1" s="1"/>
  <c r="N4" i="7"/>
  <c r="D222" i="1" s="1"/>
  <c r="S4" i="7"/>
  <c r="D229" i="1" s="1"/>
  <c r="R4" i="7"/>
  <c r="D228" i="1" s="1"/>
  <c r="P4" i="7"/>
  <c r="D224" i="1" s="1"/>
  <c r="BR7" i="11"/>
  <c r="E217" i="1" s="1"/>
  <c r="BR8" i="11"/>
  <c r="F217" i="1" s="1"/>
  <c r="BR9" i="11"/>
  <c r="G217" i="1" s="1"/>
  <c r="BR10" i="11"/>
  <c r="H217" i="1" s="1"/>
  <c r="BR11" i="11"/>
  <c r="I217" i="1" s="1"/>
  <c r="BR12" i="11"/>
  <c r="J217" i="1" s="1"/>
  <c r="BR13" i="11"/>
  <c r="K217" i="1" s="1"/>
  <c r="BR14" i="11"/>
  <c r="L217" i="1" s="1"/>
  <c r="BR15" i="11"/>
  <c r="M217" i="1" s="1"/>
  <c r="BR16" i="11"/>
  <c r="N217" i="1" s="1"/>
  <c r="BR17" i="11"/>
  <c r="O217" i="1" s="1"/>
  <c r="BR18" i="11"/>
  <c r="P217" i="1" s="1"/>
  <c r="BQ7" i="11"/>
  <c r="E216" i="1" s="1"/>
  <c r="BQ8" i="11"/>
  <c r="F216" i="1" s="1"/>
  <c r="BQ9" i="11"/>
  <c r="G216" i="1" s="1"/>
  <c r="BQ10" i="11"/>
  <c r="H216" i="1" s="1"/>
  <c r="BQ11" i="11"/>
  <c r="I216" i="1" s="1"/>
  <c r="BQ12" i="11"/>
  <c r="J216" i="1" s="1"/>
  <c r="BQ13" i="11"/>
  <c r="K216" i="1" s="1"/>
  <c r="BQ14" i="11"/>
  <c r="L216" i="1" s="1"/>
  <c r="BQ15" i="11"/>
  <c r="M216" i="1" s="1"/>
  <c r="BQ16" i="11"/>
  <c r="N216" i="1" s="1"/>
  <c r="BQ17" i="11"/>
  <c r="O216" i="1" s="1"/>
  <c r="BQ18" i="11"/>
  <c r="P216" i="1" s="1"/>
  <c r="BT7" i="11"/>
  <c r="E215" i="1" s="1"/>
  <c r="BT8" i="11"/>
  <c r="F215" i="1" s="1"/>
  <c r="BT9" i="11"/>
  <c r="G215" i="1" s="1"/>
  <c r="BT10" i="11"/>
  <c r="H215" i="1" s="1"/>
  <c r="BT11" i="11"/>
  <c r="I215" i="1" s="1"/>
  <c r="BT12" i="11"/>
  <c r="J215" i="1" s="1"/>
  <c r="BT13" i="11"/>
  <c r="K215" i="1" s="1"/>
  <c r="BT14" i="11"/>
  <c r="L215" i="1" s="1"/>
  <c r="BT15" i="11"/>
  <c r="M215" i="1" s="1"/>
  <c r="BT16" i="11"/>
  <c r="N215" i="1" s="1"/>
  <c r="BT17" i="11"/>
  <c r="O215" i="1" s="1"/>
  <c r="BT18" i="11"/>
  <c r="P215" i="1" s="1"/>
  <c r="BT6" i="11"/>
  <c r="D215" i="1" s="1"/>
  <c r="BP7" i="11"/>
  <c r="E214" i="1" s="1"/>
  <c r="BP8" i="11"/>
  <c r="F214" i="1" s="1"/>
  <c r="BP9" i="11"/>
  <c r="G214" i="1" s="1"/>
  <c r="BP10" i="11"/>
  <c r="H214" i="1" s="1"/>
  <c r="BP11" i="11"/>
  <c r="I214" i="1" s="1"/>
  <c r="BP12" i="11"/>
  <c r="J214" i="1" s="1"/>
  <c r="BP13" i="11"/>
  <c r="K214" i="1" s="1"/>
  <c r="BP14" i="11"/>
  <c r="L214" i="1" s="1"/>
  <c r="BP15" i="11"/>
  <c r="M214" i="1" s="1"/>
  <c r="BP16" i="11"/>
  <c r="N214" i="1" s="1"/>
  <c r="BP17" i="11"/>
  <c r="O214" i="1" s="1"/>
  <c r="BP18" i="11"/>
  <c r="P214" i="1" s="1"/>
  <c r="BP6" i="11"/>
  <c r="D214" i="1" s="1"/>
  <c r="BS7" i="11"/>
  <c r="E213" i="1" s="1"/>
  <c r="BS8" i="11"/>
  <c r="F213" i="1" s="1"/>
  <c r="BS9" i="11"/>
  <c r="G213" i="1" s="1"/>
  <c r="BS10" i="11"/>
  <c r="H213" i="1" s="1"/>
  <c r="BS11" i="11"/>
  <c r="I213" i="1" s="1"/>
  <c r="BS12" i="11"/>
  <c r="J213" i="1" s="1"/>
  <c r="BS13" i="11"/>
  <c r="K213" i="1" s="1"/>
  <c r="BS14" i="11"/>
  <c r="L213" i="1" s="1"/>
  <c r="BS15" i="11"/>
  <c r="M213" i="1" s="1"/>
  <c r="BS16" i="11"/>
  <c r="N213" i="1" s="1"/>
  <c r="BS17" i="11"/>
  <c r="O213" i="1" s="1"/>
  <c r="BS18" i="11"/>
  <c r="P213" i="1" s="1"/>
  <c r="BS6" i="11"/>
  <c r="D213" i="1" s="1"/>
  <c r="BO7" i="11"/>
  <c r="E212" i="1" s="1"/>
  <c r="BO8" i="11"/>
  <c r="F212" i="1" s="1"/>
  <c r="BO9" i="11"/>
  <c r="G212" i="1" s="1"/>
  <c r="BO10" i="11"/>
  <c r="H212" i="1" s="1"/>
  <c r="BO11" i="11"/>
  <c r="I212" i="1" s="1"/>
  <c r="BO12" i="11"/>
  <c r="J212" i="1" s="1"/>
  <c r="BO13" i="11"/>
  <c r="K212" i="1" s="1"/>
  <c r="BO14" i="11"/>
  <c r="L212" i="1" s="1"/>
  <c r="BO15" i="11"/>
  <c r="M212" i="1" s="1"/>
  <c r="BO16" i="11"/>
  <c r="N212" i="1" s="1"/>
  <c r="BO17" i="11"/>
  <c r="O212" i="1" s="1"/>
  <c r="BO18" i="11"/>
  <c r="P212" i="1" s="1"/>
  <c r="BN7" i="11"/>
  <c r="E211" i="1" s="1"/>
  <c r="BN8" i="11"/>
  <c r="F211" i="1" s="1"/>
  <c r="BN9" i="11"/>
  <c r="G211" i="1" s="1"/>
  <c r="BN10" i="11"/>
  <c r="H211" i="1" s="1"/>
  <c r="BN11" i="11"/>
  <c r="I211" i="1" s="1"/>
  <c r="BN12" i="11"/>
  <c r="J211" i="1" s="1"/>
  <c r="BN13" i="11"/>
  <c r="K211" i="1" s="1"/>
  <c r="BN14" i="11"/>
  <c r="L211" i="1" s="1"/>
  <c r="BN15" i="11"/>
  <c r="M211" i="1" s="1"/>
  <c r="BN16" i="11"/>
  <c r="N211" i="1" s="1"/>
  <c r="BN17" i="11"/>
  <c r="O211" i="1" s="1"/>
  <c r="BN18" i="11"/>
  <c r="P211" i="1" s="1"/>
  <c r="BM7" i="11"/>
  <c r="E210" i="1" s="1"/>
  <c r="BM8" i="11"/>
  <c r="F210" i="1" s="1"/>
  <c r="BM9" i="11"/>
  <c r="G210" i="1" s="1"/>
  <c r="BM10" i="11"/>
  <c r="H210" i="1" s="1"/>
  <c r="BM11" i="11"/>
  <c r="I210" i="1" s="1"/>
  <c r="BM12" i="11"/>
  <c r="J210" i="1" s="1"/>
  <c r="BM13" i="11"/>
  <c r="K210" i="1" s="1"/>
  <c r="BM14" i="11"/>
  <c r="L210" i="1" s="1"/>
  <c r="BM15" i="11"/>
  <c r="M210" i="1" s="1"/>
  <c r="BM16" i="11"/>
  <c r="N210" i="1" s="1"/>
  <c r="BM17" i="11"/>
  <c r="O210" i="1" s="1"/>
  <c r="BM18" i="11"/>
  <c r="P210" i="1" s="1"/>
  <c r="BR6" i="11"/>
  <c r="D217" i="1" s="1"/>
  <c r="BQ6" i="11"/>
  <c r="D216" i="1" s="1"/>
  <c r="BO6" i="11"/>
  <c r="D212" i="1" s="1"/>
  <c r="BN6" i="11"/>
  <c r="D211" i="1" s="1"/>
  <c r="BM6" i="11"/>
  <c r="D210" i="1" s="1"/>
  <c r="AI7" i="11"/>
  <c r="E203" i="1" s="1"/>
  <c r="AI8" i="11"/>
  <c r="F203" i="1" s="1"/>
  <c r="AI9" i="11"/>
  <c r="G203" i="1" s="1"/>
  <c r="AI10" i="11"/>
  <c r="H203" i="1" s="1"/>
  <c r="AI11" i="11"/>
  <c r="I203" i="1" s="1"/>
  <c r="AI12" i="11"/>
  <c r="J203" i="1" s="1"/>
  <c r="AI13" i="11"/>
  <c r="K203" i="1" s="1"/>
  <c r="AI14" i="11"/>
  <c r="L203" i="1" s="1"/>
  <c r="AI15" i="11"/>
  <c r="M203" i="1" s="1"/>
  <c r="AI16" i="11"/>
  <c r="N203" i="1" s="1"/>
  <c r="AI17" i="11"/>
  <c r="O203" i="1" s="1"/>
  <c r="AI18" i="11"/>
  <c r="P203" i="1" s="1"/>
  <c r="AF7" i="11"/>
  <c r="E204" i="1" s="1"/>
  <c r="AF8" i="11"/>
  <c r="F204" i="1" s="1"/>
  <c r="AF9" i="11"/>
  <c r="G204" i="1" s="1"/>
  <c r="AF10" i="11"/>
  <c r="H204" i="1" s="1"/>
  <c r="AF11" i="11"/>
  <c r="I204" i="1" s="1"/>
  <c r="AF12" i="11"/>
  <c r="J204" i="1" s="1"/>
  <c r="AF13" i="11"/>
  <c r="K204" i="1" s="1"/>
  <c r="AF14" i="11"/>
  <c r="L204" i="1" s="1"/>
  <c r="AF15" i="11"/>
  <c r="M204" i="1" s="1"/>
  <c r="AF16" i="11"/>
  <c r="N204" i="1" s="1"/>
  <c r="AF17" i="11"/>
  <c r="O204" i="1" s="1"/>
  <c r="AF18" i="11"/>
  <c r="P204" i="1" s="1"/>
  <c r="AG7" i="11"/>
  <c r="E205" i="1" s="1"/>
  <c r="AG8" i="11"/>
  <c r="F205" i="1" s="1"/>
  <c r="AG9" i="11"/>
  <c r="G205" i="1" s="1"/>
  <c r="AG10" i="11"/>
  <c r="H205" i="1" s="1"/>
  <c r="AG11" i="11"/>
  <c r="I205" i="1" s="1"/>
  <c r="AG12" i="11"/>
  <c r="J205" i="1"/>
  <c r="AG13" i="11"/>
  <c r="K205" i="1" s="1"/>
  <c r="AG14" i="11"/>
  <c r="L205" i="1" s="1"/>
  <c r="AG15" i="11"/>
  <c r="M205" i="1" s="1"/>
  <c r="AG16" i="11"/>
  <c r="N205" i="1" s="1"/>
  <c r="AG17" i="11"/>
  <c r="O205" i="1" s="1"/>
  <c r="AG18" i="11"/>
  <c r="P205" i="1" s="1"/>
  <c r="AG6" i="11"/>
  <c r="D205" i="1" s="1"/>
  <c r="AI6" i="11"/>
  <c r="D203" i="1" s="1"/>
  <c r="AE7" i="11"/>
  <c r="E202" i="1" s="1"/>
  <c r="AE8" i="11"/>
  <c r="F202" i="1" s="1"/>
  <c r="AE9" i="11"/>
  <c r="G202" i="1" s="1"/>
  <c r="AE10" i="11"/>
  <c r="H202" i="1" s="1"/>
  <c r="AE11" i="11"/>
  <c r="I202" i="1" s="1"/>
  <c r="AE12" i="11"/>
  <c r="J202" i="1" s="1"/>
  <c r="AE13" i="11"/>
  <c r="K202" i="1" s="1"/>
  <c r="AE14" i="11"/>
  <c r="L202" i="1" s="1"/>
  <c r="AE15" i="11"/>
  <c r="M202" i="1" s="1"/>
  <c r="AE16" i="11"/>
  <c r="N202" i="1" s="1"/>
  <c r="AE17" i="11"/>
  <c r="O202" i="1" s="1"/>
  <c r="AE18" i="11"/>
  <c r="P202" i="1" s="1"/>
  <c r="AE6" i="11"/>
  <c r="D202" i="1" s="1"/>
  <c r="AH7" i="11"/>
  <c r="E201" i="1" s="1"/>
  <c r="AH8" i="11"/>
  <c r="F201" i="1" s="1"/>
  <c r="AH9" i="11"/>
  <c r="G201" i="1" s="1"/>
  <c r="AH10" i="11"/>
  <c r="H201" i="1" s="1"/>
  <c r="AH11" i="11"/>
  <c r="I201" i="1" s="1"/>
  <c r="AH12" i="11"/>
  <c r="J201" i="1" s="1"/>
  <c r="AH13" i="11"/>
  <c r="K201" i="1" s="1"/>
  <c r="AH14" i="11"/>
  <c r="L201" i="1" s="1"/>
  <c r="AH15" i="11"/>
  <c r="M201" i="1" s="1"/>
  <c r="AH16" i="11"/>
  <c r="N201" i="1" s="1"/>
  <c r="AH17" i="11"/>
  <c r="O201" i="1" s="1"/>
  <c r="AH18" i="11"/>
  <c r="P201" i="1" s="1"/>
  <c r="AH6" i="11"/>
  <c r="D201" i="1" s="1"/>
  <c r="AD7" i="11"/>
  <c r="E200" i="1" s="1"/>
  <c r="AD8" i="11"/>
  <c r="F200" i="1" s="1"/>
  <c r="AD9" i="11"/>
  <c r="G200" i="1" s="1"/>
  <c r="AD10" i="11"/>
  <c r="H200" i="1" s="1"/>
  <c r="AD11" i="11"/>
  <c r="I200" i="1" s="1"/>
  <c r="AD12" i="11"/>
  <c r="J200" i="1" s="1"/>
  <c r="AD13" i="11"/>
  <c r="K200" i="1" s="1"/>
  <c r="AD14" i="11"/>
  <c r="L200" i="1" s="1"/>
  <c r="AD15" i="11"/>
  <c r="M200" i="1" s="1"/>
  <c r="AD16" i="11"/>
  <c r="N200" i="1" s="1"/>
  <c r="AD17" i="11"/>
  <c r="O200" i="1" s="1"/>
  <c r="AD18" i="11"/>
  <c r="P200" i="1" s="1"/>
  <c r="AC7" i="11"/>
  <c r="E199" i="1" s="1"/>
  <c r="AC8" i="11"/>
  <c r="F199" i="1" s="1"/>
  <c r="AC9" i="11"/>
  <c r="G199" i="1" s="1"/>
  <c r="AC10" i="11"/>
  <c r="H199" i="1" s="1"/>
  <c r="AC11" i="11"/>
  <c r="I199" i="1" s="1"/>
  <c r="AC12" i="11"/>
  <c r="J199" i="1" s="1"/>
  <c r="AC13" i="11"/>
  <c r="K199" i="1" s="1"/>
  <c r="AC14" i="11"/>
  <c r="L199" i="1" s="1"/>
  <c r="AC15" i="11"/>
  <c r="M199" i="1" s="1"/>
  <c r="AC16" i="11"/>
  <c r="N199" i="1" s="1"/>
  <c r="AC17" i="11"/>
  <c r="O199" i="1" s="1"/>
  <c r="AC18" i="11"/>
  <c r="P199" i="1" s="1"/>
  <c r="AB7" i="11"/>
  <c r="E198" i="1" s="1"/>
  <c r="AB8" i="11"/>
  <c r="F198" i="1" s="1"/>
  <c r="AB9" i="11"/>
  <c r="G198" i="1" s="1"/>
  <c r="AB10" i="11"/>
  <c r="H198" i="1" s="1"/>
  <c r="AB11" i="11"/>
  <c r="I198" i="1" s="1"/>
  <c r="AB12" i="11"/>
  <c r="J198" i="1" s="1"/>
  <c r="AB13" i="11"/>
  <c r="K198" i="1" s="1"/>
  <c r="AB14" i="11"/>
  <c r="L198" i="1" s="1"/>
  <c r="AB15" i="11"/>
  <c r="M198" i="1" s="1"/>
  <c r="AB16" i="11"/>
  <c r="N198" i="1" s="1"/>
  <c r="AB17" i="11"/>
  <c r="O198" i="1" s="1"/>
  <c r="AB18" i="11"/>
  <c r="P198" i="1" s="1"/>
  <c r="AF6" i="11"/>
  <c r="D204" i="1" s="1"/>
  <c r="AD6" i="11"/>
  <c r="D200" i="1" s="1"/>
  <c r="AC6" i="11"/>
  <c r="D199" i="1" s="1"/>
  <c r="AB6" i="11"/>
  <c r="D198" i="1" s="1"/>
  <c r="Q205" i="1"/>
  <c r="Q204" i="1"/>
  <c r="Q203" i="1"/>
  <c r="Q200" i="1"/>
  <c r="Q199" i="1"/>
  <c r="Q198" i="1"/>
  <c r="Q181" i="1"/>
  <c r="Q180" i="1"/>
  <c r="Q179" i="1"/>
  <c r="Q176" i="1"/>
  <c r="Q175" i="1"/>
  <c r="Q174" i="1"/>
  <c r="BS7" i="10"/>
  <c r="E193" i="1" s="1"/>
  <c r="BS8" i="10"/>
  <c r="F193" i="1" s="1"/>
  <c r="BS9" i="10"/>
  <c r="G193" i="1" s="1"/>
  <c r="BS10" i="10"/>
  <c r="H193" i="1" s="1"/>
  <c r="BS11" i="10"/>
  <c r="I193" i="1" s="1"/>
  <c r="BS12" i="10"/>
  <c r="J193" i="1" s="1"/>
  <c r="BS13" i="10"/>
  <c r="K193" i="1" s="1"/>
  <c r="BS14" i="10"/>
  <c r="L193" i="1" s="1"/>
  <c r="BS15" i="10"/>
  <c r="M193" i="1" s="1"/>
  <c r="BS16" i="10"/>
  <c r="N193" i="1" s="1"/>
  <c r="BS17" i="10"/>
  <c r="O193" i="1" s="1"/>
  <c r="BS18" i="10"/>
  <c r="P193" i="1" s="1"/>
  <c r="BR7" i="10"/>
  <c r="E192" i="1" s="1"/>
  <c r="BR8" i="10"/>
  <c r="F192" i="1" s="1"/>
  <c r="BR9" i="10"/>
  <c r="G192" i="1" s="1"/>
  <c r="BR10" i="10"/>
  <c r="H192" i="1" s="1"/>
  <c r="BR11" i="10"/>
  <c r="I192" i="1" s="1"/>
  <c r="BR12" i="10"/>
  <c r="J192" i="1" s="1"/>
  <c r="BR13" i="10"/>
  <c r="K192" i="1" s="1"/>
  <c r="BR14" i="10"/>
  <c r="L192" i="1" s="1"/>
  <c r="BR15" i="10"/>
  <c r="M192" i="1" s="1"/>
  <c r="BR16" i="10"/>
  <c r="N192" i="1" s="1"/>
  <c r="BR17" i="10"/>
  <c r="O192" i="1" s="1"/>
  <c r="BR18" i="10"/>
  <c r="P192" i="1" s="1"/>
  <c r="BU7" i="10"/>
  <c r="E191" i="1" s="1"/>
  <c r="BU8" i="10"/>
  <c r="F191" i="1" s="1"/>
  <c r="BU9" i="10"/>
  <c r="G191" i="1" s="1"/>
  <c r="BU10" i="10"/>
  <c r="H191" i="1" s="1"/>
  <c r="BU11" i="10"/>
  <c r="I191" i="1" s="1"/>
  <c r="BU12" i="10"/>
  <c r="J191" i="1" s="1"/>
  <c r="BU13" i="10"/>
  <c r="K191" i="1" s="1"/>
  <c r="BU14" i="10"/>
  <c r="L191" i="1" s="1"/>
  <c r="BU15" i="10"/>
  <c r="M191" i="1" s="1"/>
  <c r="BU16" i="10"/>
  <c r="N191" i="1" s="1"/>
  <c r="BU17" i="10"/>
  <c r="O191" i="1" s="1"/>
  <c r="BU18" i="10"/>
  <c r="P191" i="1" s="1"/>
  <c r="BU6" i="10"/>
  <c r="D191" i="1" s="1"/>
  <c r="BQ7" i="10"/>
  <c r="E190" i="1" s="1"/>
  <c r="BQ8" i="10"/>
  <c r="F190" i="1" s="1"/>
  <c r="BQ9" i="10"/>
  <c r="G190" i="1" s="1"/>
  <c r="BQ10" i="10"/>
  <c r="H190" i="1" s="1"/>
  <c r="BQ11" i="10"/>
  <c r="I190" i="1" s="1"/>
  <c r="BQ12" i="10"/>
  <c r="J190" i="1" s="1"/>
  <c r="BQ13" i="10"/>
  <c r="K190" i="1" s="1"/>
  <c r="BQ14" i="10"/>
  <c r="L190" i="1" s="1"/>
  <c r="BQ15" i="10"/>
  <c r="M190" i="1" s="1"/>
  <c r="BQ16" i="10"/>
  <c r="N190" i="1" s="1"/>
  <c r="BQ17" i="10"/>
  <c r="O190" i="1" s="1"/>
  <c r="BQ18" i="10"/>
  <c r="P190" i="1" s="1"/>
  <c r="BQ6" i="10"/>
  <c r="D190" i="1" s="1"/>
  <c r="BT7" i="10"/>
  <c r="E189" i="1" s="1"/>
  <c r="BT8" i="10"/>
  <c r="F189" i="1" s="1"/>
  <c r="BT9" i="10"/>
  <c r="G189" i="1" s="1"/>
  <c r="BT10" i="10"/>
  <c r="H189" i="1" s="1"/>
  <c r="BT11" i="10"/>
  <c r="I189" i="1" s="1"/>
  <c r="BT12" i="10"/>
  <c r="J189" i="1" s="1"/>
  <c r="BT13" i="10"/>
  <c r="K189" i="1" s="1"/>
  <c r="BT14" i="10"/>
  <c r="L189" i="1" s="1"/>
  <c r="BT15" i="10"/>
  <c r="M189" i="1" s="1"/>
  <c r="BT16" i="10"/>
  <c r="N189" i="1" s="1"/>
  <c r="BT17" i="10"/>
  <c r="O189" i="1" s="1"/>
  <c r="BT18" i="10"/>
  <c r="P189" i="1" s="1"/>
  <c r="BT6" i="10"/>
  <c r="D189" i="1" s="1"/>
  <c r="BP7" i="10"/>
  <c r="E188" i="1" s="1"/>
  <c r="BP8" i="10"/>
  <c r="F188" i="1" s="1"/>
  <c r="BP9" i="10"/>
  <c r="G188" i="1" s="1"/>
  <c r="BP10" i="10"/>
  <c r="H188" i="1" s="1"/>
  <c r="BP11" i="10"/>
  <c r="I188" i="1" s="1"/>
  <c r="BP12" i="10"/>
  <c r="J188" i="1" s="1"/>
  <c r="BP13" i="10"/>
  <c r="K188" i="1" s="1"/>
  <c r="BP14" i="10"/>
  <c r="L188" i="1" s="1"/>
  <c r="BP15" i="10"/>
  <c r="M188" i="1" s="1"/>
  <c r="BP16" i="10"/>
  <c r="N188" i="1" s="1"/>
  <c r="BP17" i="10"/>
  <c r="O188" i="1" s="1"/>
  <c r="BP18" i="10"/>
  <c r="P188" i="1" s="1"/>
  <c r="BO7" i="10"/>
  <c r="E187" i="1" s="1"/>
  <c r="BO8" i="10"/>
  <c r="F187" i="1" s="1"/>
  <c r="BO9" i="10"/>
  <c r="G187" i="1" s="1"/>
  <c r="BO10" i="10"/>
  <c r="H187" i="1" s="1"/>
  <c r="BO11" i="10"/>
  <c r="I187" i="1" s="1"/>
  <c r="BO12" i="10"/>
  <c r="J187" i="1" s="1"/>
  <c r="BO13" i="10"/>
  <c r="K187" i="1" s="1"/>
  <c r="BO14" i="10"/>
  <c r="L187" i="1" s="1"/>
  <c r="BO15" i="10"/>
  <c r="M187" i="1" s="1"/>
  <c r="BO16" i="10"/>
  <c r="N187" i="1" s="1"/>
  <c r="BO17" i="10"/>
  <c r="O187" i="1" s="1"/>
  <c r="BO18" i="10"/>
  <c r="P187" i="1" s="1"/>
  <c r="BN7" i="10"/>
  <c r="E186" i="1" s="1"/>
  <c r="BN8" i="10"/>
  <c r="F186" i="1" s="1"/>
  <c r="BN9" i="10"/>
  <c r="G186" i="1" s="1"/>
  <c r="BN10" i="10"/>
  <c r="H186" i="1" s="1"/>
  <c r="BN11" i="10"/>
  <c r="I186" i="1" s="1"/>
  <c r="BN12" i="10"/>
  <c r="J186" i="1" s="1"/>
  <c r="BN13" i="10"/>
  <c r="K186" i="1" s="1"/>
  <c r="BN14" i="10"/>
  <c r="L186" i="1" s="1"/>
  <c r="BN15" i="10"/>
  <c r="M186" i="1" s="1"/>
  <c r="BN16" i="10"/>
  <c r="N186" i="1" s="1"/>
  <c r="BN17" i="10"/>
  <c r="O186" i="1" s="1"/>
  <c r="BN18" i="10"/>
  <c r="P186" i="1" s="1"/>
  <c r="BS6" i="10"/>
  <c r="D193" i="1" s="1"/>
  <c r="BR6" i="10"/>
  <c r="D192" i="1" s="1"/>
  <c r="BP6" i="10"/>
  <c r="D188" i="1" s="1"/>
  <c r="BO6" i="10"/>
  <c r="D187" i="1" s="1"/>
  <c r="BN6" i="10"/>
  <c r="D186" i="1" s="1"/>
  <c r="AG7" i="10"/>
  <c r="E181" i="1" s="1"/>
  <c r="AG8" i="10"/>
  <c r="F181" i="1" s="1"/>
  <c r="AG9" i="10"/>
  <c r="G181" i="1" s="1"/>
  <c r="AG10" i="10"/>
  <c r="H181" i="1" s="1"/>
  <c r="AG11" i="10"/>
  <c r="I181" i="1" s="1"/>
  <c r="AG12" i="10"/>
  <c r="J181" i="1" s="1"/>
  <c r="AG13" i="10"/>
  <c r="K181" i="1" s="1"/>
  <c r="AG14" i="10"/>
  <c r="L181" i="1" s="1"/>
  <c r="AG15" i="10"/>
  <c r="M181" i="1" s="1"/>
  <c r="AG16" i="10"/>
  <c r="N181" i="1" s="1"/>
  <c r="AG17" i="10"/>
  <c r="O181" i="1" s="1"/>
  <c r="AG18" i="10"/>
  <c r="P181" i="1" s="1"/>
  <c r="AF7" i="10"/>
  <c r="E180" i="1" s="1"/>
  <c r="AF8" i="10"/>
  <c r="F180" i="1" s="1"/>
  <c r="AF9" i="10"/>
  <c r="G180" i="1" s="1"/>
  <c r="AF10" i="10"/>
  <c r="H180" i="1" s="1"/>
  <c r="AF11" i="10"/>
  <c r="I180" i="1" s="1"/>
  <c r="AF12" i="10"/>
  <c r="J180" i="1" s="1"/>
  <c r="AF13" i="10"/>
  <c r="K180" i="1" s="1"/>
  <c r="AF14" i="10"/>
  <c r="L180" i="1" s="1"/>
  <c r="AF15" i="10"/>
  <c r="M180" i="1" s="1"/>
  <c r="AF16" i="10"/>
  <c r="N180" i="1" s="1"/>
  <c r="AF17" i="10"/>
  <c r="O180" i="1" s="1"/>
  <c r="AI7" i="10"/>
  <c r="E179" i="1" s="1"/>
  <c r="AI8" i="10"/>
  <c r="F179" i="1" s="1"/>
  <c r="AI9" i="10"/>
  <c r="G179" i="1" s="1"/>
  <c r="AI10" i="10"/>
  <c r="H179" i="1" s="1"/>
  <c r="AI11" i="10"/>
  <c r="I179" i="1" s="1"/>
  <c r="AI12" i="10"/>
  <c r="J179" i="1" s="1"/>
  <c r="AI13" i="10"/>
  <c r="K179" i="1" s="1"/>
  <c r="AI14" i="10"/>
  <c r="L179" i="1" s="1"/>
  <c r="AI15" i="10"/>
  <c r="M179" i="1" s="1"/>
  <c r="AI16" i="10"/>
  <c r="N179" i="1" s="1"/>
  <c r="AI17" i="10"/>
  <c r="O179" i="1" s="1"/>
  <c r="AI18" i="10"/>
  <c r="P179" i="1" s="1"/>
  <c r="AI6" i="10"/>
  <c r="D179" i="1" s="1"/>
  <c r="AE7" i="10"/>
  <c r="E178" i="1" s="1"/>
  <c r="AE8" i="10"/>
  <c r="F178" i="1" s="1"/>
  <c r="AE9" i="10"/>
  <c r="G178" i="1" s="1"/>
  <c r="AE10" i="10"/>
  <c r="H178" i="1" s="1"/>
  <c r="AE11" i="10"/>
  <c r="I178" i="1" s="1"/>
  <c r="AE12" i="10"/>
  <c r="J178" i="1" s="1"/>
  <c r="AE13" i="10"/>
  <c r="K178" i="1" s="1"/>
  <c r="AE14" i="10"/>
  <c r="L178" i="1" s="1"/>
  <c r="AE15" i="10"/>
  <c r="M178" i="1" s="1"/>
  <c r="AE16" i="10"/>
  <c r="N178" i="1" s="1"/>
  <c r="AE17" i="10"/>
  <c r="O178" i="1" s="1"/>
  <c r="AE18" i="10"/>
  <c r="P178" i="1" s="1"/>
  <c r="AE6" i="10"/>
  <c r="D178" i="1" s="1"/>
  <c r="AH7" i="10"/>
  <c r="E177" i="1" s="1"/>
  <c r="AH8" i="10"/>
  <c r="F177" i="1" s="1"/>
  <c r="AH9" i="10"/>
  <c r="G177" i="1" s="1"/>
  <c r="AH10" i="10"/>
  <c r="H177" i="1" s="1"/>
  <c r="AH11" i="10"/>
  <c r="I177" i="1" s="1"/>
  <c r="AH12" i="10"/>
  <c r="J177" i="1" s="1"/>
  <c r="AH13" i="10"/>
  <c r="K177" i="1" s="1"/>
  <c r="AH14" i="10"/>
  <c r="L177" i="1" s="1"/>
  <c r="AH15" i="10"/>
  <c r="M177" i="1" s="1"/>
  <c r="AH16" i="10"/>
  <c r="N177" i="1" s="1"/>
  <c r="AH17" i="10"/>
  <c r="O177" i="1" s="1"/>
  <c r="AH18" i="10"/>
  <c r="P177" i="1" s="1"/>
  <c r="AH6" i="10"/>
  <c r="D177" i="1" s="1"/>
  <c r="AD7" i="10"/>
  <c r="E176" i="1" s="1"/>
  <c r="AD8" i="10"/>
  <c r="F176" i="1" s="1"/>
  <c r="AD9" i="10"/>
  <c r="G176" i="1" s="1"/>
  <c r="AD10" i="10"/>
  <c r="H176" i="1" s="1"/>
  <c r="AD11" i="10"/>
  <c r="I176" i="1" s="1"/>
  <c r="AD12" i="10"/>
  <c r="J176" i="1" s="1"/>
  <c r="AD13" i="10"/>
  <c r="K176" i="1" s="1"/>
  <c r="AD14" i="10"/>
  <c r="L176" i="1" s="1"/>
  <c r="AD15" i="10"/>
  <c r="M176" i="1" s="1"/>
  <c r="AD16" i="10"/>
  <c r="N176" i="1" s="1"/>
  <c r="AD17" i="10"/>
  <c r="O176" i="1" s="1"/>
  <c r="AD18" i="10"/>
  <c r="P176" i="1" s="1"/>
  <c r="AC7" i="10"/>
  <c r="E175" i="1" s="1"/>
  <c r="AC8" i="10"/>
  <c r="F175" i="1" s="1"/>
  <c r="AC9" i="10"/>
  <c r="G175" i="1" s="1"/>
  <c r="AC10" i="10"/>
  <c r="H175" i="1" s="1"/>
  <c r="AC11" i="10"/>
  <c r="I175" i="1" s="1"/>
  <c r="AC12" i="10"/>
  <c r="J175" i="1" s="1"/>
  <c r="AC13" i="10"/>
  <c r="K175" i="1" s="1"/>
  <c r="AC14" i="10"/>
  <c r="L175" i="1" s="1"/>
  <c r="AC15" i="10"/>
  <c r="M175" i="1" s="1"/>
  <c r="AC16" i="10"/>
  <c r="N175" i="1" s="1"/>
  <c r="AC17" i="10"/>
  <c r="O175" i="1" s="1"/>
  <c r="AC18" i="10"/>
  <c r="P175" i="1" s="1"/>
  <c r="AB7" i="10"/>
  <c r="E174" i="1" s="1"/>
  <c r="AB8" i="10"/>
  <c r="F174" i="1" s="1"/>
  <c r="AB9" i="10"/>
  <c r="G174" i="1" s="1"/>
  <c r="AB10" i="10"/>
  <c r="H174" i="1" s="1"/>
  <c r="AB11" i="10"/>
  <c r="I174" i="1" s="1"/>
  <c r="AB12" i="10"/>
  <c r="J174" i="1" s="1"/>
  <c r="AB13" i="10"/>
  <c r="K174" i="1" s="1"/>
  <c r="AB14" i="10"/>
  <c r="L174" i="1" s="1"/>
  <c r="AB15" i="10"/>
  <c r="M174" i="1" s="1"/>
  <c r="AB16" i="10"/>
  <c r="N174" i="1" s="1"/>
  <c r="AB17" i="10"/>
  <c r="O174" i="1" s="1"/>
  <c r="AB18" i="10"/>
  <c r="P174" i="1" s="1"/>
  <c r="AG6" i="10"/>
  <c r="D181" i="1" s="1"/>
  <c r="AF18" i="10"/>
  <c r="P180" i="1" s="1"/>
  <c r="AF6" i="10"/>
  <c r="D180" i="1" s="1"/>
  <c r="AD6" i="10"/>
  <c r="D176" i="1" s="1"/>
  <c r="AC6" i="10"/>
  <c r="D175" i="1" s="1"/>
  <c r="AB6" i="10"/>
  <c r="D174" i="1" s="1"/>
  <c r="BS7" i="8"/>
  <c r="E169" i="1" s="1"/>
  <c r="BS8" i="8"/>
  <c r="F169" i="1" s="1"/>
  <c r="BS9" i="8"/>
  <c r="G169" i="1" s="1"/>
  <c r="BS10" i="8"/>
  <c r="H169" i="1" s="1"/>
  <c r="BS11" i="8"/>
  <c r="I169" i="1" s="1"/>
  <c r="BS12" i="8"/>
  <c r="J169" i="1" s="1"/>
  <c r="BS13" i="8"/>
  <c r="K169" i="1" s="1"/>
  <c r="BS14" i="8"/>
  <c r="L169" i="1" s="1"/>
  <c r="BS15" i="8"/>
  <c r="M169" i="1" s="1"/>
  <c r="BS16" i="8"/>
  <c r="N169" i="1" s="1"/>
  <c r="BS17" i="8"/>
  <c r="O169" i="1" s="1"/>
  <c r="BS18" i="8"/>
  <c r="P169" i="1" s="1"/>
  <c r="BR7" i="8"/>
  <c r="E168" i="1" s="1"/>
  <c r="BR8" i="8"/>
  <c r="F168" i="1" s="1"/>
  <c r="BR9" i="8"/>
  <c r="G168" i="1" s="1"/>
  <c r="BR10" i="8"/>
  <c r="H168" i="1" s="1"/>
  <c r="BR11" i="8"/>
  <c r="I168" i="1" s="1"/>
  <c r="BR12" i="8"/>
  <c r="J168" i="1" s="1"/>
  <c r="BR13" i="8"/>
  <c r="K168" i="1" s="1"/>
  <c r="BR14" i="8"/>
  <c r="L168" i="1" s="1"/>
  <c r="BR15" i="8"/>
  <c r="M168" i="1" s="1"/>
  <c r="BR16" i="8"/>
  <c r="N168" i="1" s="1"/>
  <c r="BR17" i="8"/>
  <c r="O168" i="1" s="1"/>
  <c r="BR18" i="8"/>
  <c r="P168" i="1" s="1"/>
  <c r="BU7" i="8"/>
  <c r="E167" i="1" s="1"/>
  <c r="BU8" i="8"/>
  <c r="F167" i="1" s="1"/>
  <c r="BU9" i="8"/>
  <c r="G167" i="1" s="1"/>
  <c r="BU10" i="8"/>
  <c r="H167" i="1" s="1"/>
  <c r="BU11" i="8"/>
  <c r="I167" i="1" s="1"/>
  <c r="BU12" i="8"/>
  <c r="J167" i="1" s="1"/>
  <c r="BU13" i="8"/>
  <c r="K167" i="1" s="1"/>
  <c r="BU14" i="8"/>
  <c r="L167" i="1" s="1"/>
  <c r="BU15" i="8"/>
  <c r="M167" i="1" s="1"/>
  <c r="BU16" i="8"/>
  <c r="N167" i="1" s="1"/>
  <c r="BU17" i="8"/>
  <c r="O167" i="1" s="1"/>
  <c r="BU18" i="8"/>
  <c r="P167" i="1" s="1"/>
  <c r="BU6" i="8"/>
  <c r="D167" i="1" s="1"/>
  <c r="BQ7" i="8"/>
  <c r="E166" i="1" s="1"/>
  <c r="BQ8" i="8"/>
  <c r="F166" i="1" s="1"/>
  <c r="BQ9" i="8"/>
  <c r="G166" i="1" s="1"/>
  <c r="BQ10" i="8"/>
  <c r="H166" i="1" s="1"/>
  <c r="BQ11" i="8"/>
  <c r="I166" i="1" s="1"/>
  <c r="BQ12" i="8"/>
  <c r="J166" i="1" s="1"/>
  <c r="BQ13" i="8"/>
  <c r="K166" i="1" s="1"/>
  <c r="BQ14" i="8"/>
  <c r="L166" i="1" s="1"/>
  <c r="BQ15" i="8"/>
  <c r="M166" i="1" s="1"/>
  <c r="BQ16" i="8"/>
  <c r="N166" i="1" s="1"/>
  <c r="BQ17" i="8"/>
  <c r="O166" i="1" s="1"/>
  <c r="BQ18" i="8"/>
  <c r="P166" i="1" s="1"/>
  <c r="BQ6" i="8"/>
  <c r="D166" i="1" s="1"/>
  <c r="BT7" i="8"/>
  <c r="E165" i="1" s="1"/>
  <c r="BT8" i="8"/>
  <c r="F165" i="1" s="1"/>
  <c r="BT9" i="8"/>
  <c r="G165" i="1" s="1"/>
  <c r="BT10" i="8"/>
  <c r="H165" i="1" s="1"/>
  <c r="BT11" i="8"/>
  <c r="I165" i="1" s="1"/>
  <c r="BT12" i="8"/>
  <c r="J165" i="1" s="1"/>
  <c r="BT13" i="8"/>
  <c r="K165" i="1" s="1"/>
  <c r="BT14" i="8"/>
  <c r="L165" i="1" s="1"/>
  <c r="BT15" i="8"/>
  <c r="M165" i="1" s="1"/>
  <c r="BT16" i="8"/>
  <c r="N165" i="1" s="1"/>
  <c r="BT17" i="8"/>
  <c r="O165" i="1" s="1"/>
  <c r="BT18" i="8"/>
  <c r="P165" i="1" s="1"/>
  <c r="BT6" i="8"/>
  <c r="D165" i="1" s="1"/>
  <c r="BP14" i="8"/>
  <c r="L164" i="1" s="1"/>
  <c r="BP7" i="8"/>
  <c r="E164" i="1" s="1"/>
  <c r="BP8" i="8"/>
  <c r="F164" i="1" s="1"/>
  <c r="BP9" i="8"/>
  <c r="G164" i="1" s="1"/>
  <c r="BP10" i="8"/>
  <c r="H164" i="1" s="1"/>
  <c r="BP11" i="8"/>
  <c r="I164" i="1" s="1"/>
  <c r="BP12" i="8"/>
  <c r="J164" i="1" s="1"/>
  <c r="BP13" i="8"/>
  <c r="K164" i="1" s="1"/>
  <c r="BP15" i="8"/>
  <c r="M164" i="1" s="1"/>
  <c r="BP16" i="8"/>
  <c r="N164" i="1" s="1"/>
  <c r="BP17" i="8"/>
  <c r="O164" i="1" s="1"/>
  <c r="BP18" i="8"/>
  <c r="P164" i="1" s="1"/>
  <c r="BO7" i="8"/>
  <c r="E163" i="1" s="1"/>
  <c r="BO8" i="8"/>
  <c r="F163" i="1" s="1"/>
  <c r="BO9" i="8"/>
  <c r="G163" i="1" s="1"/>
  <c r="BO10" i="8"/>
  <c r="H163" i="1" s="1"/>
  <c r="BO11" i="8"/>
  <c r="I163" i="1" s="1"/>
  <c r="BO12" i="8"/>
  <c r="J163" i="1" s="1"/>
  <c r="BO13" i="8"/>
  <c r="K163" i="1" s="1"/>
  <c r="BO14" i="8"/>
  <c r="L163" i="1" s="1"/>
  <c r="BO15" i="8"/>
  <c r="M163" i="1" s="1"/>
  <c r="BO16" i="8"/>
  <c r="N163" i="1" s="1"/>
  <c r="BO17" i="8"/>
  <c r="O163" i="1" s="1"/>
  <c r="BO18" i="8"/>
  <c r="P163" i="1" s="1"/>
  <c r="BN7" i="8"/>
  <c r="E162" i="1" s="1"/>
  <c r="BN9" i="8"/>
  <c r="G162" i="1" s="1"/>
  <c r="BN10" i="8"/>
  <c r="H162" i="1" s="1"/>
  <c r="BN11" i="8"/>
  <c r="I162" i="1" s="1"/>
  <c r="BN12" i="8"/>
  <c r="J162" i="1" s="1"/>
  <c r="BN13" i="8"/>
  <c r="K162" i="1" s="1"/>
  <c r="BN14" i="8"/>
  <c r="L162" i="1" s="1"/>
  <c r="BN15" i="8"/>
  <c r="M162" i="1" s="1"/>
  <c r="BN16" i="8"/>
  <c r="N162" i="1" s="1"/>
  <c r="BN17" i="8"/>
  <c r="O162" i="1" s="1"/>
  <c r="BN18" i="8"/>
  <c r="P162" i="1" s="1"/>
  <c r="BS6" i="8"/>
  <c r="D169" i="1" s="1"/>
  <c r="BR6" i="8"/>
  <c r="D168" i="1" s="1"/>
  <c r="BP6" i="8"/>
  <c r="D164" i="1" s="1"/>
  <c r="BO6" i="8"/>
  <c r="D163" i="1" s="1"/>
  <c r="BN6" i="8"/>
  <c r="D162" i="1" s="1"/>
  <c r="AH5" i="8"/>
  <c r="E157" i="1" s="1"/>
  <c r="AH6" i="8"/>
  <c r="F157" i="1" s="1"/>
  <c r="AH7" i="8"/>
  <c r="G157" i="1" s="1"/>
  <c r="AH8" i="8"/>
  <c r="H157" i="1" s="1"/>
  <c r="AH9" i="8"/>
  <c r="I157" i="1" s="1"/>
  <c r="AH10" i="8"/>
  <c r="J157" i="1" s="1"/>
  <c r="AH11" i="8"/>
  <c r="K157" i="1" s="1"/>
  <c r="AH12" i="8"/>
  <c r="L157" i="1" s="1"/>
  <c r="AH13" i="8"/>
  <c r="M157" i="1" s="1"/>
  <c r="AH14" i="8"/>
  <c r="N157" i="1" s="1"/>
  <c r="AH15" i="8"/>
  <c r="O157" i="1" s="1"/>
  <c r="AH16" i="8"/>
  <c r="P157" i="1" s="1"/>
  <c r="AG5" i="8"/>
  <c r="E156" i="1" s="1"/>
  <c r="AG6" i="8"/>
  <c r="F156" i="1" s="1"/>
  <c r="AG7" i="8"/>
  <c r="G156" i="1" s="1"/>
  <c r="AG8" i="8"/>
  <c r="H156" i="1" s="1"/>
  <c r="AG9" i="8"/>
  <c r="I156" i="1" s="1"/>
  <c r="AG10" i="8"/>
  <c r="J156" i="1" s="1"/>
  <c r="AG11" i="8"/>
  <c r="K156" i="1" s="1"/>
  <c r="AG12" i="8"/>
  <c r="L156" i="1" s="1"/>
  <c r="AG13" i="8"/>
  <c r="M156" i="1" s="1"/>
  <c r="AG14" i="8"/>
  <c r="N156" i="1" s="1"/>
  <c r="AG15" i="8"/>
  <c r="O156" i="1" s="1"/>
  <c r="AG16" i="8"/>
  <c r="P156" i="1" s="1"/>
  <c r="AI5" i="8"/>
  <c r="E153" i="1" s="1"/>
  <c r="AI6" i="8"/>
  <c r="F153" i="1" s="1"/>
  <c r="AI7" i="8"/>
  <c r="G153" i="1" s="1"/>
  <c r="AI8" i="8"/>
  <c r="H153" i="1" s="1"/>
  <c r="AI9" i="8"/>
  <c r="I153" i="1" s="1"/>
  <c r="AI10" i="8"/>
  <c r="J153" i="1" s="1"/>
  <c r="AI11" i="8"/>
  <c r="K153" i="1" s="1"/>
  <c r="AI12" i="8"/>
  <c r="L153" i="1" s="1"/>
  <c r="AI13" i="8"/>
  <c r="M153" i="1" s="1"/>
  <c r="AI14" i="8"/>
  <c r="N153" i="1" s="1"/>
  <c r="AI15" i="8"/>
  <c r="O153" i="1" s="1"/>
  <c r="AI16" i="8"/>
  <c r="P153" i="1" s="1"/>
  <c r="AF5" i="8"/>
  <c r="E154" i="1" s="1"/>
  <c r="AF6" i="8"/>
  <c r="F154" i="1" s="1"/>
  <c r="AF7" i="8"/>
  <c r="G154" i="1" s="1"/>
  <c r="AF8" i="8"/>
  <c r="H154" i="1" s="1"/>
  <c r="AF9" i="8"/>
  <c r="I154" i="1" s="1"/>
  <c r="AF10" i="8"/>
  <c r="J154" i="1" s="1"/>
  <c r="AF11" i="8"/>
  <c r="K154" i="1" s="1"/>
  <c r="AF12" i="8"/>
  <c r="L154" i="1" s="1"/>
  <c r="AF13" i="8"/>
  <c r="M154" i="1" s="1"/>
  <c r="AF14" i="8"/>
  <c r="N154" i="1" s="1"/>
  <c r="AF15" i="8"/>
  <c r="O154" i="1" s="1"/>
  <c r="AF16" i="8"/>
  <c r="P154" i="1" s="1"/>
  <c r="AJ5" i="8"/>
  <c r="E155" i="1" s="1"/>
  <c r="AJ6" i="8"/>
  <c r="F155" i="1" s="1"/>
  <c r="AJ7" i="8"/>
  <c r="G155" i="1" s="1"/>
  <c r="AJ8" i="8"/>
  <c r="H155" i="1" s="1"/>
  <c r="AJ9" i="8"/>
  <c r="I155" i="1" s="1"/>
  <c r="AJ10" i="8"/>
  <c r="J155" i="1" s="1"/>
  <c r="AJ11" i="8"/>
  <c r="K155" i="1" s="1"/>
  <c r="AJ12" i="8"/>
  <c r="L155" i="1" s="1"/>
  <c r="AJ13" i="8"/>
  <c r="M155" i="1" s="1"/>
  <c r="AJ14" i="8"/>
  <c r="N155" i="1" s="1"/>
  <c r="AJ15" i="8"/>
  <c r="O155" i="1" s="1"/>
  <c r="AJ16" i="8"/>
  <c r="P155" i="1" s="1"/>
  <c r="AJ4" i="8"/>
  <c r="D155" i="1" s="1"/>
  <c r="AF4" i="8"/>
  <c r="D154" i="1" s="1"/>
  <c r="AI4" i="8"/>
  <c r="D153" i="1" s="1"/>
  <c r="AE5" i="8"/>
  <c r="E152" i="1" s="1"/>
  <c r="AE6" i="8"/>
  <c r="F152" i="1" s="1"/>
  <c r="AE7" i="8"/>
  <c r="G152" i="1" s="1"/>
  <c r="AE8" i="8"/>
  <c r="H152" i="1" s="1"/>
  <c r="AE9" i="8"/>
  <c r="I152" i="1" s="1"/>
  <c r="AE10" i="8"/>
  <c r="J152" i="1" s="1"/>
  <c r="AE11" i="8"/>
  <c r="K152" i="1" s="1"/>
  <c r="AE12" i="8"/>
  <c r="L152" i="1" s="1"/>
  <c r="AE13" i="8"/>
  <c r="M152" i="1" s="1"/>
  <c r="AE14" i="8"/>
  <c r="N152" i="1" s="1"/>
  <c r="AE15" i="8"/>
  <c r="O152" i="1" s="1"/>
  <c r="AE16" i="8"/>
  <c r="P152" i="1" s="1"/>
  <c r="AD5" i="8"/>
  <c r="E151" i="1" s="1"/>
  <c r="AD6" i="8"/>
  <c r="F151" i="1" s="1"/>
  <c r="AD7" i="8"/>
  <c r="G151" i="1" s="1"/>
  <c r="AD8" i="8"/>
  <c r="H151" i="1" s="1"/>
  <c r="AD9" i="8"/>
  <c r="I151" i="1" s="1"/>
  <c r="AD10" i="8"/>
  <c r="J151" i="1" s="1"/>
  <c r="AD11" i="8"/>
  <c r="K151" i="1" s="1"/>
  <c r="AD12" i="8"/>
  <c r="L151" i="1" s="1"/>
  <c r="AD13" i="8"/>
  <c r="M151" i="1" s="1"/>
  <c r="AD14" i="8"/>
  <c r="N151" i="1" s="1"/>
  <c r="AD15" i="8"/>
  <c r="O151" i="1" s="1"/>
  <c r="AD16" i="8"/>
  <c r="P151" i="1" s="1"/>
  <c r="AC5" i="8"/>
  <c r="E150" i="1" s="1"/>
  <c r="AC6" i="8"/>
  <c r="F150" i="1" s="1"/>
  <c r="AC7" i="8"/>
  <c r="G150" i="1" s="1"/>
  <c r="AC8" i="8"/>
  <c r="H150" i="1" s="1"/>
  <c r="AC9" i="8"/>
  <c r="I150" i="1" s="1"/>
  <c r="AC10" i="8"/>
  <c r="J150" i="1" s="1"/>
  <c r="AC11" i="8"/>
  <c r="K150" i="1" s="1"/>
  <c r="AC12" i="8"/>
  <c r="L150" i="1" s="1"/>
  <c r="AC13" i="8"/>
  <c r="M150" i="1" s="1"/>
  <c r="AC14" i="8"/>
  <c r="N150" i="1" s="1"/>
  <c r="AC15" i="8"/>
  <c r="O150" i="1" s="1"/>
  <c r="AC16" i="8"/>
  <c r="P150" i="1" s="1"/>
  <c r="AC4" i="8"/>
  <c r="D150" i="1" s="1"/>
  <c r="AH4" i="8"/>
  <c r="D157" i="1" s="1"/>
  <c r="AG4" i="8"/>
  <c r="D156" i="1" s="1"/>
  <c r="AE4" i="8"/>
  <c r="D152" i="1" s="1"/>
  <c r="AD4" i="8"/>
  <c r="D151" i="1" s="1"/>
  <c r="F6" i="8"/>
  <c r="AE143" i="6"/>
  <c r="F127" i="1" s="1"/>
  <c r="AD143" i="6"/>
  <c r="AC143" i="6"/>
  <c r="D127" i="1" s="1"/>
  <c r="CA144" i="6"/>
  <c r="D143" i="1" s="1"/>
  <c r="BW17" i="6"/>
  <c r="O139" i="1" s="1"/>
  <c r="BW6" i="6"/>
  <c r="D139" i="1" s="1"/>
  <c r="BS10" i="6"/>
  <c r="H138" i="1" s="1"/>
  <c r="BW7" i="6"/>
  <c r="E139" i="1" s="1"/>
  <c r="BU17" i="6"/>
  <c r="O141" i="1" s="1"/>
  <c r="BV13" i="6"/>
  <c r="K137" i="1" s="1"/>
  <c r="BT6" i="6"/>
  <c r="D140" i="1" s="1"/>
  <c r="BS6" i="6"/>
  <c r="D138" i="1" s="1"/>
  <c r="BR6" i="6"/>
  <c r="D136" i="1" s="1"/>
  <c r="BQ8" i="6"/>
  <c r="F135" i="1" s="1"/>
  <c r="BQ6" i="6"/>
  <c r="D135" i="1" s="1"/>
  <c r="BP6" i="6"/>
  <c r="D134" i="1" s="1"/>
  <c r="BV16" i="6"/>
  <c r="N137" i="1" s="1"/>
  <c r="BW8" i="6"/>
  <c r="F139" i="1" s="1"/>
  <c r="BW9" i="6"/>
  <c r="G139" i="1" s="1"/>
  <c r="BW10" i="6"/>
  <c r="H139" i="1" s="1"/>
  <c r="BW11" i="6"/>
  <c r="I139" i="1" s="1"/>
  <c r="BW12" i="6"/>
  <c r="J139" i="1" s="1"/>
  <c r="BW13" i="6"/>
  <c r="K139" i="1" s="1"/>
  <c r="BW14" i="6"/>
  <c r="L139" i="1" s="1"/>
  <c r="BW15" i="6"/>
  <c r="M139" i="1" s="1"/>
  <c r="BW16" i="6"/>
  <c r="N139" i="1" s="1"/>
  <c r="BW18" i="6"/>
  <c r="P139" i="1" s="1"/>
  <c r="BV7" i="6"/>
  <c r="E137" i="1" s="1"/>
  <c r="BV8" i="6"/>
  <c r="F137" i="1" s="1"/>
  <c r="BV9" i="6"/>
  <c r="G137" i="1" s="1"/>
  <c r="BV10" i="6"/>
  <c r="H137" i="1" s="1"/>
  <c r="BV11" i="6"/>
  <c r="I137" i="1" s="1"/>
  <c r="BV12" i="6"/>
  <c r="J137" i="1" s="1"/>
  <c r="BV14" i="6"/>
  <c r="L137" i="1" s="1"/>
  <c r="BV15" i="6"/>
  <c r="M137" i="1" s="1"/>
  <c r="BV17" i="6"/>
  <c r="O137" i="1" s="1"/>
  <c r="BV18" i="6"/>
  <c r="P137" i="1" s="1"/>
  <c r="BV6" i="6"/>
  <c r="D137" i="1" s="1"/>
  <c r="BU14" i="6"/>
  <c r="L141" i="1" s="1"/>
  <c r="BU7" i="6"/>
  <c r="E141" i="1" s="1"/>
  <c r="BU8" i="6"/>
  <c r="F141" i="1" s="1"/>
  <c r="BU9" i="6"/>
  <c r="G141" i="1" s="1"/>
  <c r="BU10" i="6"/>
  <c r="H141" i="1" s="1"/>
  <c r="BU11" i="6"/>
  <c r="I141" i="1" s="1"/>
  <c r="BU12" i="6"/>
  <c r="J141" i="1" s="1"/>
  <c r="BU13" i="6"/>
  <c r="K141" i="1" s="1"/>
  <c r="BU15" i="6"/>
  <c r="M141" i="1" s="1"/>
  <c r="BU16" i="6"/>
  <c r="N141" i="1" s="1"/>
  <c r="BU18" i="6"/>
  <c r="P141" i="1" s="1"/>
  <c r="BU6" i="6"/>
  <c r="D141" i="1" s="1"/>
  <c r="BT7" i="6"/>
  <c r="E140" i="1" s="1"/>
  <c r="BT8" i="6"/>
  <c r="F140" i="1" s="1"/>
  <c r="BT9" i="6"/>
  <c r="G140" i="1" s="1"/>
  <c r="BT10" i="6"/>
  <c r="H140" i="1" s="1"/>
  <c r="BT11" i="6"/>
  <c r="I140" i="1" s="1"/>
  <c r="BT12" i="6"/>
  <c r="J140" i="1" s="1"/>
  <c r="BT13" i="6"/>
  <c r="K140" i="1" s="1"/>
  <c r="BT14" i="6"/>
  <c r="L140" i="1" s="1"/>
  <c r="BT15" i="6"/>
  <c r="M140" i="1" s="1"/>
  <c r="BT16" i="6"/>
  <c r="N140" i="1" s="1"/>
  <c r="BT17" i="6"/>
  <c r="O140" i="1" s="1"/>
  <c r="BT18" i="6"/>
  <c r="P140" i="1" s="1"/>
  <c r="BS7" i="6"/>
  <c r="E138" i="1" s="1"/>
  <c r="BS8" i="6"/>
  <c r="F138" i="1" s="1"/>
  <c r="BS9" i="6"/>
  <c r="G138" i="1" s="1"/>
  <c r="BS11" i="6"/>
  <c r="I138" i="1" s="1"/>
  <c r="BS12" i="6"/>
  <c r="J138" i="1" s="1"/>
  <c r="BS13" i="6"/>
  <c r="K138" i="1" s="1"/>
  <c r="BS14" i="6"/>
  <c r="L138" i="1" s="1"/>
  <c r="BS15" i="6"/>
  <c r="M138" i="1" s="1"/>
  <c r="BS16" i="6"/>
  <c r="N138" i="1" s="1"/>
  <c r="BS17" i="6"/>
  <c r="O138" i="1" s="1"/>
  <c r="BS18" i="6"/>
  <c r="P138" i="1" s="1"/>
  <c r="BR13" i="6"/>
  <c r="K136" i="1" s="1"/>
  <c r="BR7" i="6"/>
  <c r="E136" i="1" s="1"/>
  <c r="BR8" i="6"/>
  <c r="F136" i="1" s="1"/>
  <c r="BR9" i="6"/>
  <c r="G136" i="1" s="1"/>
  <c r="BR10" i="6"/>
  <c r="H136" i="1" s="1"/>
  <c r="BR11" i="6"/>
  <c r="I136" i="1" s="1"/>
  <c r="BR12" i="6"/>
  <c r="J136" i="1" s="1"/>
  <c r="BR14" i="6"/>
  <c r="L136" i="1" s="1"/>
  <c r="BR15" i="6"/>
  <c r="M136" i="1" s="1"/>
  <c r="BR16" i="6"/>
  <c r="N136" i="1" s="1"/>
  <c r="BR17" i="6"/>
  <c r="O136" i="1" s="1"/>
  <c r="BR18" i="6"/>
  <c r="P136" i="1" s="1"/>
  <c r="BQ12" i="6"/>
  <c r="J135" i="1" s="1"/>
  <c r="BQ7" i="6"/>
  <c r="E135" i="1" s="1"/>
  <c r="BQ9" i="6"/>
  <c r="G135" i="1" s="1"/>
  <c r="BQ10" i="6"/>
  <c r="H135" i="1"/>
  <c r="BQ11" i="6"/>
  <c r="I135" i="1" s="1"/>
  <c r="BQ13" i="6"/>
  <c r="K135" i="1" s="1"/>
  <c r="BQ14" i="6"/>
  <c r="L135" i="1" s="1"/>
  <c r="BQ15" i="6"/>
  <c r="M135" i="1" s="1"/>
  <c r="BQ16" i="6"/>
  <c r="N135" i="1" s="1"/>
  <c r="BQ17" i="6"/>
  <c r="O135" i="1" s="1"/>
  <c r="BQ18" i="6"/>
  <c r="P135" i="1" s="1"/>
  <c r="BP15" i="6"/>
  <c r="M134" i="1" s="1"/>
  <c r="BP7" i="6"/>
  <c r="E134" i="1" s="1"/>
  <c r="BP8" i="6"/>
  <c r="F134" i="1" s="1"/>
  <c r="BP9" i="6"/>
  <c r="G134" i="1" s="1"/>
  <c r="BP10" i="6"/>
  <c r="H134" i="1" s="1"/>
  <c r="BP11" i="6"/>
  <c r="I134" i="1" s="1"/>
  <c r="BP12" i="6"/>
  <c r="J134" i="1" s="1"/>
  <c r="BP13" i="6"/>
  <c r="K134" i="1" s="1"/>
  <c r="BP14" i="6"/>
  <c r="L134" i="1" s="1"/>
  <c r="BP16" i="6"/>
  <c r="N134" i="1" s="1"/>
  <c r="BP17" i="6"/>
  <c r="O134" i="1" s="1"/>
  <c r="BP18" i="6"/>
  <c r="P134" i="1" s="1"/>
  <c r="X14" i="6"/>
  <c r="N125" i="1" s="1"/>
  <c r="Z5" i="6"/>
  <c r="E123" i="1" s="1"/>
  <c r="Z6" i="6"/>
  <c r="F123" i="1" s="1"/>
  <c r="Z7" i="6"/>
  <c r="G123" i="1" s="1"/>
  <c r="Z8" i="6"/>
  <c r="H123" i="1" s="1"/>
  <c r="Z9" i="6"/>
  <c r="I123" i="1" s="1"/>
  <c r="Z10" i="6"/>
  <c r="J123" i="1" s="1"/>
  <c r="Z11" i="6"/>
  <c r="K123" i="1" s="1"/>
  <c r="Z12" i="6"/>
  <c r="L123" i="1" s="1"/>
  <c r="Z13" i="6"/>
  <c r="M123" i="1" s="1"/>
  <c r="Z14" i="6"/>
  <c r="N123" i="1" s="1"/>
  <c r="Z15" i="6"/>
  <c r="O123" i="1" s="1"/>
  <c r="Z16" i="6"/>
  <c r="P123" i="1" s="1"/>
  <c r="Z4" i="6"/>
  <c r="D123" i="1" s="1"/>
  <c r="Y12" i="6"/>
  <c r="L121" i="1" s="1"/>
  <c r="Y5" i="6"/>
  <c r="E121" i="1" s="1"/>
  <c r="Y6" i="6"/>
  <c r="F121" i="1" s="1"/>
  <c r="Y7" i="6"/>
  <c r="G121" i="1" s="1"/>
  <c r="Y8" i="6"/>
  <c r="H121" i="1" s="1"/>
  <c r="Y9" i="6"/>
  <c r="I121" i="1" s="1"/>
  <c r="Y10" i="6"/>
  <c r="J121" i="1" s="1"/>
  <c r="Y11" i="6"/>
  <c r="K121" i="1" s="1"/>
  <c r="Y13" i="6"/>
  <c r="M121" i="1" s="1"/>
  <c r="Y14" i="6"/>
  <c r="N121" i="1" s="1"/>
  <c r="Y15" i="6"/>
  <c r="O121" i="1" s="1"/>
  <c r="Y16" i="6"/>
  <c r="P121" i="1" s="1"/>
  <c r="Y4" i="6"/>
  <c r="D121" i="1" s="1"/>
  <c r="X5" i="6"/>
  <c r="E125" i="1" s="1"/>
  <c r="X6" i="6"/>
  <c r="F125" i="1" s="1"/>
  <c r="X7" i="6"/>
  <c r="G125" i="1" s="1"/>
  <c r="X8" i="6"/>
  <c r="H125" i="1" s="1"/>
  <c r="X9" i="6"/>
  <c r="I125" i="1" s="1"/>
  <c r="X10" i="6"/>
  <c r="J125" i="1" s="1"/>
  <c r="X11" i="6"/>
  <c r="K125" i="1" s="1"/>
  <c r="X12" i="6"/>
  <c r="L125" i="1" s="1"/>
  <c r="X13" i="6"/>
  <c r="M125" i="1" s="1"/>
  <c r="X15" i="6"/>
  <c r="O125" i="1" s="1"/>
  <c r="X16" i="6"/>
  <c r="P125" i="1" s="1"/>
  <c r="X4" i="6"/>
  <c r="D125" i="1" s="1"/>
  <c r="W5" i="6"/>
  <c r="E124" i="1" s="1"/>
  <c r="W6" i="6"/>
  <c r="F124" i="1" s="1"/>
  <c r="W7" i="6"/>
  <c r="G124" i="1" s="1"/>
  <c r="W8" i="6"/>
  <c r="H124" i="1" s="1"/>
  <c r="W9" i="6"/>
  <c r="I124" i="1" s="1"/>
  <c r="W10" i="6"/>
  <c r="J124" i="1" s="1"/>
  <c r="W11" i="6"/>
  <c r="K124" i="1" s="1"/>
  <c r="W12" i="6"/>
  <c r="L124" i="1" s="1"/>
  <c r="W13" i="6"/>
  <c r="M124" i="1" s="1"/>
  <c r="W14" i="6"/>
  <c r="N124" i="1" s="1"/>
  <c r="W15" i="6"/>
  <c r="O124" i="1" s="1"/>
  <c r="W16" i="6"/>
  <c r="P124" i="1" s="1"/>
  <c r="W4" i="6"/>
  <c r="D124" i="1" s="1"/>
  <c r="V5" i="6"/>
  <c r="E122" i="1" s="1"/>
  <c r="V6" i="6"/>
  <c r="F122" i="1" s="1"/>
  <c r="V7" i="6"/>
  <c r="G122" i="1" s="1"/>
  <c r="V8" i="6"/>
  <c r="H122" i="1" s="1"/>
  <c r="V9" i="6"/>
  <c r="I122" i="1" s="1"/>
  <c r="V10" i="6"/>
  <c r="J122" i="1" s="1"/>
  <c r="V11" i="6"/>
  <c r="K122" i="1" s="1"/>
  <c r="V12" i="6"/>
  <c r="L122" i="1" s="1"/>
  <c r="V13" i="6"/>
  <c r="M122" i="1" s="1"/>
  <c r="V14" i="6"/>
  <c r="N122" i="1" s="1"/>
  <c r="V15" i="6"/>
  <c r="O122" i="1" s="1"/>
  <c r="V16" i="6"/>
  <c r="P122" i="1" s="1"/>
  <c r="V4" i="6"/>
  <c r="D122" i="1" s="1"/>
  <c r="U12" i="6"/>
  <c r="L120" i="1" s="1"/>
  <c r="U5" i="6"/>
  <c r="E120" i="1" s="1"/>
  <c r="U6" i="6"/>
  <c r="F120" i="1" s="1"/>
  <c r="U7" i="6"/>
  <c r="G120" i="1" s="1"/>
  <c r="U8" i="6"/>
  <c r="H120" i="1" s="1"/>
  <c r="U9" i="6"/>
  <c r="I120" i="1" s="1"/>
  <c r="U10" i="6"/>
  <c r="J120" i="1" s="1"/>
  <c r="U11" i="6"/>
  <c r="K120" i="1" s="1"/>
  <c r="U13" i="6"/>
  <c r="M120" i="1" s="1"/>
  <c r="U14" i="6"/>
  <c r="N120" i="1" s="1"/>
  <c r="U15" i="6"/>
  <c r="O120" i="1" s="1"/>
  <c r="U16" i="6"/>
  <c r="P120" i="1" s="1"/>
  <c r="U4" i="6"/>
  <c r="D120" i="1" s="1"/>
  <c r="T5" i="6"/>
  <c r="E119" i="1" s="1"/>
  <c r="T6" i="6"/>
  <c r="F119" i="1" s="1"/>
  <c r="T7" i="6"/>
  <c r="G119" i="1" s="1"/>
  <c r="T8" i="6"/>
  <c r="H119" i="1" s="1"/>
  <c r="T9" i="6"/>
  <c r="I119" i="1" s="1"/>
  <c r="T10" i="6"/>
  <c r="J119" i="1" s="1"/>
  <c r="T11" i="6"/>
  <c r="K119" i="1" s="1"/>
  <c r="T12" i="6"/>
  <c r="L119" i="1" s="1"/>
  <c r="T13" i="6"/>
  <c r="M119" i="1" s="1"/>
  <c r="T14" i="6"/>
  <c r="N119" i="1" s="1"/>
  <c r="T15" i="6"/>
  <c r="O119" i="1" s="1"/>
  <c r="T16" i="6"/>
  <c r="P119" i="1" s="1"/>
  <c r="T4" i="6"/>
  <c r="D119" i="1" s="1"/>
  <c r="S15" i="6"/>
  <c r="O118" i="1"/>
  <c r="S5" i="6"/>
  <c r="E118" i="1" s="1"/>
  <c r="S6" i="6"/>
  <c r="F118" i="1" s="1"/>
  <c r="S7" i="6"/>
  <c r="G118" i="1" s="1"/>
  <c r="S8" i="6"/>
  <c r="H118" i="1" s="1"/>
  <c r="S9" i="6"/>
  <c r="I118" i="1" s="1"/>
  <c r="S10" i="6"/>
  <c r="J118" i="1" s="1"/>
  <c r="S11" i="6"/>
  <c r="K118" i="1" s="1"/>
  <c r="S12" i="6"/>
  <c r="L118" i="1" s="1"/>
  <c r="S13" i="6"/>
  <c r="M118" i="1" s="1"/>
  <c r="S14" i="6"/>
  <c r="N118" i="1" s="1"/>
  <c r="S16" i="6"/>
  <c r="P118" i="1" s="1"/>
  <c r="S4" i="6"/>
  <c r="D118" i="1" s="1"/>
  <c r="BJ6" i="5"/>
  <c r="E100" i="1" s="1"/>
  <c r="BJ7" i="5"/>
  <c r="F100" i="1" s="1"/>
  <c r="BJ8" i="5"/>
  <c r="G100" i="1" s="1"/>
  <c r="BJ9" i="5"/>
  <c r="H100" i="1" s="1"/>
  <c r="BJ10" i="5"/>
  <c r="I100" i="1" s="1"/>
  <c r="BJ11" i="5"/>
  <c r="J100" i="1" s="1"/>
  <c r="BJ12" i="5"/>
  <c r="K100" i="1" s="1"/>
  <c r="BJ13" i="5"/>
  <c r="L100" i="1" s="1"/>
  <c r="BJ14" i="5"/>
  <c r="M100" i="1" s="1"/>
  <c r="BJ15" i="5"/>
  <c r="N100" i="1" s="1"/>
  <c r="BJ16" i="5"/>
  <c r="O100" i="1" s="1"/>
  <c r="BJ17" i="5"/>
  <c r="P100" i="1" s="1"/>
  <c r="BJ5" i="5"/>
  <c r="D100" i="1" s="1"/>
  <c r="BI5" i="5"/>
  <c r="D98" i="1" s="1"/>
  <c r="BI6" i="5"/>
  <c r="E98" i="1" s="1"/>
  <c r="BI7" i="5"/>
  <c r="F98" i="1" s="1"/>
  <c r="BI8" i="5"/>
  <c r="G98" i="1" s="1"/>
  <c r="BI9" i="5"/>
  <c r="H98" i="1" s="1"/>
  <c r="BI10" i="5"/>
  <c r="I98" i="1" s="1"/>
  <c r="BI11" i="5"/>
  <c r="J98" i="1" s="1"/>
  <c r="BI12" i="5"/>
  <c r="K98" i="1" s="1"/>
  <c r="BI13" i="5"/>
  <c r="L98" i="1" s="1"/>
  <c r="BI14" i="5"/>
  <c r="M98" i="1" s="1"/>
  <c r="BI15" i="5"/>
  <c r="N98" i="1" s="1"/>
  <c r="BI16" i="5"/>
  <c r="O98" i="1" s="1"/>
  <c r="BI17" i="5"/>
  <c r="P98" i="1" s="1"/>
  <c r="BH6" i="5"/>
  <c r="E102" i="1" s="1"/>
  <c r="BH7" i="5"/>
  <c r="F102" i="1" s="1"/>
  <c r="BH8" i="5"/>
  <c r="G102" i="1" s="1"/>
  <c r="BH9" i="5"/>
  <c r="H102" i="1" s="1"/>
  <c r="BH10" i="5"/>
  <c r="I102" i="1" s="1"/>
  <c r="BH11" i="5"/>
  <c r="J102" i="1" s="1"/>
  <c r="BH12" i="5"/>
  <c r="K102" i="1" s="1"/>
  <c r="BH13" i="5"/>
  <c r="L102" i="1" s="1"/>
  <c r="BH14" i="5"/>
  <c r="M102" i="1" s="1"/>
  <c r="BH15" i="5"/>
  <c r="N102" i="1" s="1"/>
  <c r="BH16" i="5"/>
  <c r="O102" i="1" s="1"/>
  <c r="BH17" i="5"/>
  <c r="P102" i="1" s="1"/>
  <c r="BH5" i="5"/>
  <c r="D102" i="1" s="1"/>
  <c r="BG6" i="5"/>
  <c r="E101" i="1" s="1"/>
  <c r="BG7" i="5"/>
  <c r="F101" i="1" s="1"/>
  <c r="BG8" i="5"/>
  <c r="G101" i="1" s="1"/>
  <c r="BG9" i="5"/>
  <c r="H101" i="1" s="1"/>
  <c r="BG10" i="5"/>
  <c r="I101" i="1" s="1"/>
  <c r="BG11" i="5"/>
  <c r="J101" i="1" s="1"/>
  <c r="BG12" i="5"/>
  <c r="K101" i="1" s="1"/>
  <c r="BG13" i="5"/>
  <c r="L101" i="1" s="1"/>
  <c r="BG14" i="5"/>
  <c r="M101" i="1" s="1"/>
  <c r="BG15" i="5"/>
  <c r="N101" i="1" s="1"/>
  <c r="BG16" i="5"/>
  <c r="O101" i="1" s="1"/>
  <c r="BG17" i="5"/>
  <c r="P101" i="1" s="1"/>
  <c r="BG5" i="5"/>
  <c r="D101" i="1" s="1"/>
  <c r="BF6" i="5"/>
  <c r="E99" i="1" s="1"/>
  <c r="BF7" i="5"/>
  <c r="F99" i="1" s="1"/>
  <c r="BF8" i="5"/>
  <c r="G99" i="1" s="1"/>
  <c r="BF9" i="5"/>
  <c r="H99" i="1" s="1"/>
  <c r="BF10" i="5"/>
  <c r="I99" i="1" s="1"/>
  <c r="BF11" i="5"/>
  <c r="J99" i="1" s="1"/>
  <c r="BF12" i="5"/>
  <c r="K99" i="1" s="1"/>
  <c r="BF13" i="5"/>
  <c r="L99" i="1" s="1"/>
  <c r="BF14" i="5"/>
  <c r="M99" i="1" s="1"/>
  <c r="BF15" i="5"/>
  <c r="N99" i="1" s="1"/>
  <c r="BF16" i="5"/>
  <c r="O99" i="1" s="1"/>
  <c r="BF17" i="5"/>
  <c r="P99" i="1" s="1"/>
  <c r="BF5" i="5"/>
  <c r="D99" i="1" s="1"/>
  <c r="BE6" i="5"/>
  <c r="E97" i="1" s="1"/>
  <c r="BE7" i="5"/>
  <c r="F97" i="1" s="1"/>
  <c r="BE8" i="5"/>
  <c r="G97" i="1" s="1"/>
  <c r="BE9" i="5"/>
  <c r="H97" i="1" s="1"/>
  <c r="BE10" i="5"/>
  <c r="I97" i="1" s="1"/>
  <c r="BE11" i="5"/>
  <c r="J97" i="1" s="1"/>
  <c r="BE12" i="5"/>
  <c r="K97" i="1" s="1"/>
  <c r="BE13" i="5"/>
  <c r="L97" i="1" s="1"/>
  <c r="BE14" i="5"/>
  <c r="M97" i="1" s="1"/>
  <c r="BE15" i="5"/>
  <c r="N97" i="1" s="1"/>
  <c r="BE16" i="5"/>
  <c r="O97" i="1" s="1"/>
  <c r="BE17" i="5"/>
  <c r="P97" i="1" s="1"/>
  <c r="BE5" i="5"/>
  <c r="D97" i="1" s="1"/>
  <c r="BC6" i="5"/>
  <c r="E95" i="1" s="1"/>
  <c r="BC7" i="5"/>
  <c r="F95" i="1" s="1"/>
  <c r="BC8" i="5"/>
  <c r="G95" i="1" s="1"/>
  <c r="BC9" i="5"/>
  <c r="H95" i="1" s="1"/>
  <c r="BC10" i="5"/>
  <c r="I95" i="1" s="1"/>
  <c r="BC11" i="5"/>
  <c r="J95" i="1" s="1"/>
  <c r="BC12" i="5"/>
  <c r="K95" i="1" s="1"/>
  <c r="BC13" i="5"/>
  <c r="L95" i="1" s="1"/>
  <c r="BC14" i="5"/>
  <c r="M95" i="1" s="1"/>
  <c r="BC15" i="5"/>
  <c r="N95" i="1" s="1"/>
  <c r="BC16" i="5"/>
  <c r="O95" i="1" s="1"/>
  <c r="BC17" i="5"/>
  <c r="P95" i="1" s="1"/>
  <c r="BC5" i="5"/>
  <c r="D95" i="1" s="1"/>
  <c r="BD6" i="5"/>
  <c r="E96" i="1" s="1"/>
  <c r="BD7" i="5"/>
  <c r="F96" i="1" s="1"/>
  <c r="BD8" i="5"/>
  <c r="G96" i="1" s="1"/>
  <c r="BD9" i="5"/>
  <c r="H96" i="1" s="1"/>
  <c r="BD10" i="5"/>
  <c r="I96" i="1" s="1"/>
  <c r="BD11" i="5"/>
  <c r="J96" i="1" s="1"/>
  <c r="BD12" i="5"/>
  <c r="K96" i="1" s="1"/>
  <c r="BD13" i="5"/>
  <c r="L96" i="1" s="1"/>
  <c r="BD14" i="5"/>
  <c r="M96" i="1" s="1"/>
  <c r="BD15" i="5"/>
  <c r="N96" i="1" s="1"/>
  <c r="BD16" i="5"/>
  <c r="O96" i="1" s="1"/>
  <c r="BD17" i="5"/>
  <c r="P96" i="1" s="1"/>
  <c r="BD5" i="5"/>
  <c r="D96" i="1" s="1"/>
  <c r="AN6" i="5"/>
  <c r="E111" i="1" s="1"/>
  <c r="AN7" i="5"/>
  <c r="F111" i="1" s="1"/>
  <c r="AN8" i="5"/>
  <c r="G111" i="1" s="1"/>
  <c r="AN9" i="5"/>
  <c r="H111" i="1" s="1"/>
  <c r="AN10" i="5"/>
  <c r="I111" i="1" s="1"/>
  <c r="AN11" i="5"/>
  <c r="J111" i="1" s="1"/>
  <c r="AN12" i="5"/>
  <c r="K111" i="1" s="1"/>
  <c r="AN13" i="5"/>
  <c r="L111" i="1" s="1"/>
  <c r="AN14" i="5"/>
  <c r="M111" i="1" s="1"/>
  <c r="AN15" i="5"/>
  <c r="N111" i="1" s="1"/>
  <c r="AN16" i="5"/>
  <c r="O111" i="1" s="1"/>
  <c r="AN17" i="5"/>
  <c r="P111" i="1" s="1"/>
  <c r="AM6" i="5"/>
  <c r="E109" i="1" s="1"/>
  <c r="AM7" i="5"/>
  <c r="F109" i="1" s="1"/>
  <c r="AM8" i="5"/>
  <c r="G109" i="1" s="1"/>
  <c r="AM9" i="5"/>
  <c r="H109" i="1" s="1"/>
  <c r="AM10" i="5"/>
  <c r="I109" i="1" s="1"/>
  <c r="AM11" i="5"/>
  <c r="J109" i="1" s="1"/>
  <c r="AM12" i="5"/>
  <c r="K109" i="1" s="1"/>
  <c r="AM13" i="5"/>
  <c r="L109" i="1" s="1"/>
  <c r="AM14" i="5"/>
  <c r="M109" i="1" s="1"/>
  <c r="AM15" i="5"/>
  <c r="N109" i="1" s="1"/>
  <c r="AM16" i="5"/>
  <c r="O109" i="1" s="1"/>
  <c r="AM17" i="5"/>
  <c r="P109" i="1" s="1"/>
  <c r="AM5" i="5"/>
  <c r="D109" i="1" s="1"/>
  <c r="AL6" i="5"/>
  <c r="E113" i="1" s="1"/>
  <c r="AL7" i="5"/>
  <c r="F113" i="1" s="1"/>
  <c r="AL8" i="5"/>
  <c r="G113" i="1" s="1"/>
  <c r="AL9" i="5"/>
  <c r="H113" i="1" s="1"/>
  <c r="AL10" i="5"/>
  <c r="I113" i="1" s="1"/>
  <c r="AL11" i="5"/>
  <c r="J113" i="1" s="1"/>
  <c r="AL12" i="5"/>
  <c r="K113" i="1" s="1"/>
  <c r="AL13" i="5"/>
  <c r="L113" i="1" s="1"/>
  <c r="AL14" i="5"/>
  <c r="M113" i="1" s="1"/>
  <c r="AL15" i="5"/>
  <c r="N113" i="1" s="1"/>
  <c r="AL16" i="5"/>
  <c r="O113" i="1" s="1"/>
  <c r="AL17" i="5"/>
  <c r="P113" i="1" s="1"/>
  <c r="AL5" i="5"/>
  <c r="D113" i="1" s="1"/>
  <c r="AK6" i="5"/>
  <c r="E112" i="1" s="1"/>
  <c r="AK7" i="5"/>
  <c r="F112" i="1" s="1"/>
  <c r="AK8" i="5"/>
  <c r="G112" i="1" s="1"/>
  <c r="AK9" i="5"/>
  <c r="H112" i="1" s="1"/>
  <c r="AK10" i="5"/>
  <c r="I112" i="1" s="1"/>
  <c r="AK11" i="5"/>
  <c r="J112" i="1" s="1"/>
  <c r="AK12" i="5"/>
  <c r="K112" i="1" s="1"/>
  <c r="AK13" i="5"/>
  <c r="L112" i="1" s="1"/>
  <c r="AK14" i="5"/>
  <c r="M112" i="1" s="1"/>
  <c r="AK15" i="5"/>
  <c r="N112" i="1" s="1"/>
  <c r="AK16" i="5"/>
  <c r="O112" i="1" s="1"/>
  <c r="AK17" i="5"/>
  <c r="P112" i="1" s="1"/>
  <c r="AK5" i="5"/>
  <c r="D112" i="1" s="1"/>
  <c r="AN5" i="5"/>
  <c r="D111" i="1" s="1"/>
  <c r="AJ6" i="5"/>
  <c r="E110" i="1" s="1"/>
  <c r="AJ7" i="5"/>
  <c r="F110" i="1" s="1"/>
  <c r="AJ8" i="5"/>
  <c r="G110" i="1" s="1"/>
  <c r="AJ9" i="5"/>
  <c r="H110" i="1" s="1"/>
  <c r="AJ10" i="5"/>
  <c r="I110" i="1" s="1"/>
  <c r="AJ11" i="5"/>
  <c r="J110" i="1" s="1"/>
  <c r="AJ12" i="5"/>
  <c r="K110" i="1" s="1"/>
  <c r="AJ13" i="5"/>
  <c r="L110" i="1" s="1"/>
  <c r="AJ14" i="5"/>
  <c r="M110" i="1" s="1"/>
  <c r="AJ15" i="5"/>
  <c r="N110" i="1" s="1"/>
  <c r="AJ16" i="5"/>
  <c r="O110" i="1" s="1"/>
  <c r="AJ17" i="5"/>
  <c r="P110" i="1" s="1"/>
  <c r="AJ5" i="5"/>
  <c r="D110" i="1" s="1"/>
  <c r="AI6" i="5"/>
  <c r="E108" i="1" s="1"/>
  <c r="AI7" i="5"/>
  <c r="F108" i="1" s="1"/>
  <c r="AI8" i="5"/>
  <c r="G108" i="1" s="1"/>
  <c r="AI9" i="5"/>
  <c r="H108" i="1" s="1"/>
  <c r="AI10" i="5"/>
  <c r="I108" i="1" s="1"/>
  <c r="AI11" i="5"/>
  <c r="J108" i="1" s="1"/>
  <c r="AI12" i="5"/>
  <c r="K108" i="1" s="1"/>
  <c r="AI13" i="5"/>
  <c r="L108" i="1" s="1"/>
  <c r="AI14" i="5"/>
  <c r="M108" i="1" s="1"/>
  <c r="AI15" i="5"/>
  <c r="N108" i="1" s="1"/>
  <c r="AI16" i="5"/>
  <c r="O108" i="1" s="1"/>
  <c r="AI17" i="5"/>
  <c r="P108" i="1" s="1"/>
  <c r="AI5" i="5"/>
  <c r="D108" i="1" s="1"/>
  <c r="AH6" i="5"/>
  <c r="E107" i="1" s="1"/>
  <c r="AH7" i="5"/>
  <c r="F107" i="1" s="1"/>
  <c r="AH8" i="5"/>
  <c r="G107" i="1"/>
  <c r="AH9" i="5"/>
  <c r="H107" i="1" s="1"/>
  <c r="AH10" i="5"/>
  <c r="I107" i="1" s="1"/>
  <c r="AH11" i="5"/>
  <c r="J107" i="1" s="1"/>
  <c r="AH12" i="5"/>
  <c r="K107" i="1" s="1"/>
  <c r="AH13" i="5"/>
  <c r="L107" i="1" s="1"/>
  <c r="AH14" i="5"/>
  <c r="M107" i="1" s="1"/>
  <c r="AH15" i="5"/>
  <c r="N107" i="1" s="1"/>
  <c r="AH16" i="5"/>
  <c r="O107" i="1" s="1"/>
  <c r="AH17" i="5"/>
  <c r="P107" i="1" s="1"/>
  <c r="AH5" i="5"/>
  <c r="D107" i="1" s="1"/>
  <c r="AG6" i="5"/>
  <c r="E106" i="1" s="1"/>
  <c r="AG7" i="5"/>
  <c r="F106" i="1" s="1"/>
  <c r="AG8" i="5"/>
  <c r="G106" i="1" s="1"/>
  <c r="AG9" i="5"/>
  <c r="H106" i="1" s="1"/>
  <c r="AG10" i="5"/>
  <c r="I106" i="1" s="1"/>
  <c r="AG11" i="5"/>
  <c r="J106" i="1" s="1"/>
  <c r="AG12" i="5"/>
  <c r="K106" i="1" s="1"/>
  <c r="AG13" i="5"/>
  <c r="L106" i="1" s="1"/>
  <c r="AG14" i="5"/>
  <c r="M106" i="1" s="1"/>
  <c r="AG15" i="5"/>
  <c r="N106" i="1" s="1"/>
  <c r="AG16" i="5"/>
  <c r="O106" i="1" s="1"/>
  <c r="AG17" i="5"/>
  <c r="P106" i="1" s="1"/>
  <c r="AG5" i="5"/>
  <c r="D106" i="1" s="1"/>
  <c r="S5" i="5"/>
  <c r="D86" i="1" s="1"/>
  <c r="T6" i="5"/>
  <c r="E88" i="1" s="1"/>
  <c r="T7" i="5"/>
  <c r="F88" i="1" s="1"/>
  <c r="T8" i="5"/>
  <c r="G88" i="1" s="1"/>
  <c r="T9" i="5"/>
  <c r="H88" i="1" s="1"/>
  <c r="T10" i="5"/>
  <c r="I88" i="1" s="1"/>
  <c r="T11" i="5"/>
  <c r="J88" i="1" s="1"/>
  <c r="T12" i="5"/>
  <c r="K88" i="1" s="1"/>
  <c r="T13" i="5"/>
  <c r="L88" i="1" s="1"/>
  <c r="T14" i="5"/>
  <c r="M88" i="1" s="1"/>
  <c r="T15" i="5"/>
  <c r="N88" i="1" s="1"/>
  <c r="T16" i="5"/>
  <c r="O88" i="1" s="1"/>
  <c r="T17" i="5"/>
  <c r="P88" i="1" s="1"/>
  <c r="T5" i="5"/>
  <c r="D88" i="1" s="1"/>
  <c r="S6" i="5"/>
  <c r="E86" i="1" s="1"/>
  <c r="S7" i="5"/>
  <c r="F86" i="1" s="1"/>
  <c r="S8" i="5"/>
  <c r="G86" i="1" s="1"/>
  <c r="S9" i="5"/>
  <c r="H86" i="1" s="1"/>
  <c r="S10" i="5"/>
  <c r="I86" i="1" s="1"/>
  <c r="S11" i="5"/>
  <c r="J86" i="1" s="1"/>
  <c r="S12" i="5"/>
  <c r="K86" i="1" s="1"/>
  <c r="S13" i="5"/>
  <c r="L86" i="1" s="1"/>
  <c r="S14" i="5"/>
  <c r="M86" i="1" s="1"/>
  <c r="S15" i="5"/>
  <c r="N86" i="1" s="1"/>
  <c r="S16" i="5"/>
  <c r="O86" i="1" s="1"/>
  <c r="S17" i="5"/>
  <c r="P86" i="1" s="1"/>
  <c r="R9" i="5"/>
  <c r="H90" i="1" s="1"/>
  <c r="R6" i="5"/>
  <c r="E90" i="1" s="1"/>
  <c r="R7" i="5"/>
  <c r="F90" i="1" s="1"/>
  <c r="R8" i="5"/>
  <c r="G90" i="1" s="1"/>
  <c r="R10" i="5"/>
  <c r="I90" i="1" s="1"/>
  <c r="R11" i="5"/>
  <c r="J90" i="1" s="1"/>
  <c r="R12" i="5"/>
  <c r="K90" i="1" s="1"/>
  <c r="R13" i="5"/>
  <c r="L90" i="1" s="1"/>
  <c r="R14" i="5"/>
  <c r="M90" i="1" s="1"/>
  <c r="R15" i="5"/>
  <c r="N90" i="1" s="1"/>
  <c r="R16" i="5"/>
  <c r="O90" i="1" s="1"/>
  <c r="R17" i="5"/>
  <c r="P90" i="1" s="1"/>
  <c r="R5" i="5"/>
  <c r="D90" i="1" s="1"/>
  <c r="Q6" i="5"/>
  <c r="E89" i="1" s="1"/>
  <c r="Q7" i="5"/>
  <c r="F89" i="1" s="1"/>
  <c r="Q8" i="5"/>
  <c r="G89" i="1" s="1"/>
  <c r="Q9" i="5"/>
  <c r="H89" i="1" s="1"/>
  <c r="Q10" i="5"/>
  <c r="I89" i="1" s="1"/>
  <c r="Q11" i="5"/>
  <c r="J89" i="1" s="1"/>
  <c r="Q12" i="5"/>
  <c r="K89" i="1" s="1"/>
  <c r="Q13" i="5"/>
  <c r="L89" i="1" s="1"/>
  <c r="Q14" i="5"/>
  <c r="M89" i="1" s="1"/>
  <c r="Q15" i="5"/>
  <c r="N89" i="1" s="1"/>
  <c r="Q16" i="5"/>
  <c r="O89" i="1" s="1"/>
  <c r="Q17" i="5"/>
  <c r="P89" i="1" s="1"/>
  <c r="Q5" i="5"/>
  <c r="D89" i="1" s="1"/>
  <c r="P6" i="5"/>
  <c r="E87" i="1" s="1"/>
  <c r="P7" i="5"/>
  <c r="F87" i="1" s="1"/>
  <c r="P8" i="5"/>
  <c r="G87" i="1" s="1"/>
  <c r="P9" i="5"/>
  <c r="H87" i="1" s="1"/>
  <c r="P10" i="5"/>
  <c r="I87" i="1" s="1"/>
  <c r="P11" i="5"/>
  <c r="J87" i="1" s="1"/>
  <c r="P12" i="5"/>
  <c r="K87" i="1" s="1"/>
  <c r="P13" i="5"/>
  <c r="L87" i="1" s="1"/>
  <c r="P14" i="5"/>
  <c r="M87" i="1" s="1"/>
  <c r="P15" i="5"/>
  <c r="N87" i="1" s="1"/>
  <c r="P16" i="5"/>
  <c r="O87" i="1" s="1"/>
  <c r="P17" i="5"/>
  <c r="P87" i="1" s="1"/>
  <c r="P5" i="5"/>
  <c r="D87" i="1" s="1"/>
  <c r="O8" i="5"/>
  <c r="G85" i="1" s="1"/>
  <c r="O5" i="5"/>
  <c r="D85" i="1" s="1"/>
  <c r="O6" i="5"/>
  <c r="E85" i="1" s="1"/>
  <c r="O7" i="5"/>
  <c r="F85" i="1" s="1"/>
  <c r="O9" i="5"/>
  <c r="H85" i="1" s="1"/>
  <c r="O10" i="5"/>
  <c r="I85" i="1" s="1"/>
  <c r="O11" i="5"/>
  <c r="J85" i="1" s="1"/>
  <c r="O12" i="5"/>
  <c r="K85" i="1" s="1"/>
  <c r="O13" i="5"/>
  <c r="L85" i="1" s="1"/>
  <c r="O14" i="5"/>
  <c r="M85" i="1" s="1"/>
  <c r="O15" i="5"/>
  <c r="N85" i="1" s="1"/>
  <c r="O16" i="5"/>
  <c r="O85" i="1" s="1"/>
  <c r="O17" i="5"/>
  <c r="P85" i="1" s="1"/>
  <c r="N6" i="5"/>
  <c r="E84" i="1" s="1"/>
  <c r="N7" i="5"/>
  <c r="F84" i="1" s="1"/>
  <c r="N8" i="5"/>
  <c r="G84" i="1" s="1"/>
  <c r="N9" i="5"/>
  <c r="H84" i="1" s="1"/>
  <c r="N10" i="5"/>
  <c r="I84" i="1" s="1"/>
  <c r="N11" i="5"/>
  <c r="J84" i="1" s="1"/>
  <c r="N12" i="5"/>
  <c r="K84" i="1" s="1"/>
  <c r="N13" i="5"/>
  <c r="L84" i="1" s="1"/>
  <c r="N14" i="5"/>
  <c r="M84" i="1" s="1"/>
  <c r="N15" i="5"/>
  <c r="N84" i="1" s="1"/>
  <c r="N16" i="5"/>
  <c r="O84" i="1" s="1"/>
  <c r="N17" i="5"/>
  <c r="P84" i="1" s="1"/>
  <c r="N5" i="5"/>
  <c r="D84" i="1" s="1"/>
  <c r="M16" i="5"/>
  <c r="O83" i="1" s="1"/>
  <c r="M6" i="5"/>
  <c r="E83" i="1" s="1"/>
  <c r="M7" i="5"/>
  <c r="F83" i="1" s="1"/>
  <c r="M8" i="5"/>
  <c r="G83" i="1" s="1"/>
  <c r="M9" i="5"/>
  <c r="H83" i="1" s="1"/>
  <c r="M10" i="5"/>
  <c r="I83" i="1" s="1"/>
  <c r="M11" i="5"/>
  <c r="J83" i="1" s="1"/>
  <c r="M12" i="5"/>
  <c r="K83" i="1" s="1"/>
  <c r="M13" i="5"/>
  <c r="L83" i="1" s="1"/>
  <c r="M14" i="5"/>
  <c r="M83" i="1" s="1"/>
  <c r="M15" i="5"/>
  <c r="N83" i="1" s="1"/>
  <c r="M17" i="5"/>
  <c r="P83" i="1" s="1"/>
  <c r="M5" i="5"/>
  <c r="D83" i="1" s="1"/>
  <c r="AC10" i="4"/>
  <c r="J66" i="1" s="1"/>
  <c r="AD13" i="4"/>
  <c r="M67" i="1" s="1"/>
  <c r="AI15" i="4"/>
  <c r="O70" i="1" s="1"/>
  <c r="AI5" i="4"/>
  <c r="E70" i="1" s="1"/>
  <c r="AI6" i="4"/>
  <c r="F70" i="1" s="1"/>
  <c r="AI7" i="4"/>
  <c r="G70" i="1" s="1"/>
  <c r="AI8" i="4"/>
  <c r="H70" i="1" s="1"/>
  <c r="AI9" i="4"/>
  <c r="I70" i="1" s="1"/>
  <c r="AI10" i="4"/>
  <c r="J70" i="1" s="1"/>
  <c r="AI11" i="4"/>
  <c r="K70" i="1" s="1"/>
  <c r="AI12" i="4"/>
  <c r="L70" i="1" s="1"/>
  <c r="AI13" i="4"/>
  <c r="M70" i="1" s="1"/>
  <c r="AI14" i="4"/>
  <c r="N70" i="1" s="1"/>
  <c r="AI16" i="4"/>
  <c r="P70" i="1" s="1"/>
  <c r="AI4" i="4"/>
  <c r="D70" i="1" s="1"/>
  <c r="AH5" i="4"/>
  <c r="E68" i="1" s="1"/>
  <c r="AH6" i="4"/>
  <c r="F68" i="1" s="1"/>
  <c r="AH7" i="4"/>
  <c r="G68" i="1" s="1"/>
  <c r="AH8" i="4"/>
  <c r="H68" i="1" s="1"/>
  <c r="AH9" i="4"/>
  <c r="I68" i="1" s="1"/>
  <c r="AH10" i="4"/>
  <c r="J68" i="1" s="1"/>
  <c r="AH11" i="4"/>
  <c r="K68" i="1" s="1"/>
  <c r="AH12" i="4"/>
  <c r="L68" i="1" s="1"/>
  <c r="AH13" i="4"/>
  <c r="M68" i="1" s="1"/>
  <c r="AH14" i="4"/>
  <c r="N68" i="1" s="1"/>
  <c r="AH15" i="4"/>
  <c r="O68" i="1" s="1"/>
  <c r="AH16" i="4"/>
  <c r="P68" i="1" s="1"/>
  <c r="AH4" i="4"/>
  <c r="D68" i="1" s="1"/>
  <c r="AG5" i="4"/>
  <c r="E72" i="1" s="1"/>
  <c r="AG6" i="4"/>
  <c r="F72" i="1" s="1"/>
  <c r="AG7" i="4"/>
  <c r="G72" i="1" s="1"/>
  <c r="AG8" i="4"/>
  <c r="H72" i="1" s="1"/>
  <c r="AG9" i="4"/>
  <c r="I72" i="1" s="1"/>
  <c r="AG10" i="4"/>
  <c r="J72" i="1" s="1"/>
  <c r="AG11" i="4"/>
  <c r="K72" i="1" s="1"/>
  <c r="AG12" i="4"/>
  <c r="L72" i="1" s="1"/>
  <c r="AG13" i="4"/>
  <c r="M72" i="1" s="1"/>
  <c r="AG14" i="4"/>
  <c r="N72" i="1" s="1"/>
  <c r="AG15" i="4"/>
  <c r="O72" i="1" s="1"/>
  <c r="AG16" i="4"/>
  <c r="P72" i="1" s="1"/>
  <c r="AG4" i="4"/>
  <c r="D72" i="1" s="1"/>
  <c r="AF5" i="4"/>
  <c r="E71" i="1" s="1"/>
  <c r="AF6" i="4"/>
  <c r="F71" i="1" s="1"/>
  <c r="AF7" i="4"/>
  <c r="G71" i="1" s="1"/>
  <c r="AF8" i="4"/>
  <c r="H71" i="1" s="1"/>
  <c r="AF9" i="4"/>
  <c r="I71" i="1" s="1"/>
  <c r="AF10" i="4"/>
  <c r="J71" i="1" s="1"/>
  <c r="AF11" i="4"/>
  <c r="K71" i="1" s="1"/>
  <c r="AF12" i="4"/>
  <c r="L71" i="1" s="1"/>
  <c r="AF13" i="4"/>
  <c r="M71" i="1" s="1"/>
  <c r="AF14" i="4"/>
  <c r="N71" i="1" s="1"/>
  <c r="AF15" i="4"/>
  <c r="O71" i="1" s="1"/>
  <c r="AF16" i="4"/>
  <c r="P71" i="1" s="1"/>
  <c r="AF4" i="4"/>
  <c r="D71" i="1" s="1"/>
  <c r="AE5" i="4"/>
  <c r="E69" i="1" s="1"/>
  <c r="AE6" i="4"/>
  <c r="F69" i="1" s="1"/>
  <c r="AE7" i="4"/>
  <c r="G69" i="1" s="1"/>
  <c r="AE8" i="4"/>
  <c r="H69" i="1" s="1"/>
  <c r="AE9" i="4"/>
  <c r="I69" i="1" s="1"/>
  <c r="AE10" i="4"/>
  <c r="J69" i="1" s="1"/>
  <c r="AE11" i="4"/>
  <c r="K69" i="1" s="1"/>
  <c r="AE12" i="4"/>
  <c r="L69" i="1" s="1"/>
  <c r="AE13" i="4"/>
  <c r="M69" i="1" s="1"/>
  <c r="AE14" i="4"/>
  <c r="N69" i="1" s="1"/>
  <c r="AE15" i="4"/>
  <c r="O69" i="1" s="1"/>
  <c r="AE16" i="4"/>
  <c r="P69" i="1" s="1"/>
  <c r="AE4" i="4"/>
  <c r="D69" i="1" s="1"/>
  <c r="AD5" i="4"/>
  <c r="E67" i="1" s="1"/>
  <c r="AD6" i="4"/>
  <c r="F67" i="1" s="1"/>
  <c r="AD7" i="4"/>
  <c r="G67" i="1" s="1"/>
  <c r="AD8" i="4"/>
  <c r="H67" i="1" s="1"/>
  <c r="AD9" i="4"/>
  <c r="I67" i="1" s="1"/>
  <c r="AD10" i="4"/>
  <c r="J67" i="1" s="1"/>
  <c r="AD11" i="4"/>
  <c r="K67" i="1" s="1"/>
  <c r="AD12" i="4"/>
  <c r="L67" i="1" s="1"/>
  <c r="AD14" i="4"/>
  <c r="N67" i="1" s="1"/>
  <c r="AD15" i="4"/>
  <c r="O67" i="1" s="1"/>
  <c r="AD16" i="4"/>
  <c r="P67" i="1" s="1"/>
  <c r="AD4" i="4"/>
  <c r="D67" i="1" s="1"/>
  <c r="AC5" i="4"/>
  <c r="E66" i="1" s="1"/>
  <c r="AC6" i="4"/>
  <c r="F66" i="1" s="1"/>
  <c r="AC7" i="4"/>
  <c r="G66" i="1" s="1"/>
  <c r="AC8" i="4"/>
  <c r="H66" i="1" s="1"/>
  <c r="AC9" i="4"/>
  <c r="I66" i="1" s="1"/>
  <c r="AC11" i="4"/>
  <c r="K66" i="1" s="1"/>
  <c r="AC12" i="4"/>
  <c r="L66" i="1" s="1"/>
  <c r="AC13" i="4"/>
  <c r="M66" i="1" s="1"/>
  <c r="AC14" i="4"/>
  <c r="N66" i="1" s="1"/>
  <c r="AC15" i="4"/>
  <c r="O66" i="1" s="1"/>
  <c r="AC16" i="4"/>
  <c r="P66" i="1" s="1"/>
  <c r="AC4" i="4"/>
  <c r="D66" i="1" s="1"/>
  <c r="AB16" i="4"/>
  <c r="P65" i="1" s="1"/>
  <c r="AB5" i="4"/>
  <c r="E65" i="1" s="1"/>
  <c r="AB6" i="4"/>
  <c r="F65" i="1" s="1"/>
  <c r="AB7" i="4"/>
  <c r="G65" i="1" s="1"/>
  <c r="AB8" i="4"/>
  <c r="H65" i="1" s="1"/>
  <c r="AB9" i="4"/>
  <c r="I65" i="1" s="1"/>
  <c r="AB10" i="4"/>
  <c r="J65" i="1" s="1"/>
  <c r="AB11" i="4"/>
  <c r="K65" i="1" s="1"/>
  <c r="AB12" i="4"/>
  <c r="L65" i="1" s="1"/>
  <c r="AB13" i="4"/>
  <c r="M65" i="1" s="1"/>
  <c r="AB14" i="4"/>
  <c r="N65" i="1" s="1"/>
  <c r="AB15" i="4"/>
  <c r="O65" i="1" s="1"/>
  <c r="AB4" i="4"/>
  <c r="D65" i="1" s="1"/>
  <c r="AZ23" i="12"/>
  <c r="D40" i="1" s="1"/>
  <c r="AZ24" i="12"/>
  <c r="E40" i="1" s="1"/>
  <c r="AZ25" i="12"/>
  <c r="F40" i="1" s="1"/>
  <c r="AZ26" i="12"/>
  <c r="G40" i="1" s="1"/>
  <c r="AZ27" i="12"/>
  <c r="H40" i="1" s="1"/>
  <c r="AZ28" i="12"/>
  <c r="I40" i="1" s="1"/>
  <c r="AZ29" i="12"/>
  <c r="J40" i="1" s="1"/>
  <c r="AZ30" i="12"/>
  <c r="K40" i="1" s="1"/>
  <c r="AZ31" i="12"/>
  <c r="L40" i="1" s="1"/>
  <c r="AZ32" i="12"/>
  <c r="M40" i="1" s="1"/>
  <c r="AZ33" i="12"/>
  <c r="N40" i="1" s="1"/>
  <c r="AZ34" i="12"/>
  <c r="O40" i="1" s="1"/>
  <c r="AZ35" i="12"/>
  <c r="P40" i="1" s="1"/>
  <c r="AZ40" i="12"/>
  <c r="E54" i="1" s="1"/>
  <c r="AZ41" i="12"/>
  <c r="F54" i="1" s="1"/>
  <c r="AZ42" i="12"/>
  <c r="G54" i="1" s="1"/>
  <c r="AZ43" i="12"/>
  <c r="H54" i="1" s="1"/>
  <c r="AZ44" i="12"/>
  <c r="I54" i="1" s="1"/>
  <c r="AZ45" i="12"/>
  <c r="J54" i="1" s="1"/>
  <c r="AZ46" i="12"/>
  <c r="K54" i="1" s="1"/>
  <c r="AZ47" i="12"/>
  <c r="L54" i="1" s="1"/>
  <c r="AZ48" i="12"/>
  <c r="M54" i="1" s="1"/>
  <c r="AZ49" i="12"/>
  <c r="N54" i="1" s="1"/>
  <c r="AZ50" i="12"/>
  <c r="O54" i="1" s="1"/>
  <c r="AZ51" i="12"/>
  <c r="P54" i="1" s="1"/>
  <c r="AZ52" i="12"/>
  <c r="AZ39" i="12"/>
  <c r="D54" i="1" s="1"/>
  <c r="AY39" i="12"/>
  <c r="D53" i="1" s="1"/>
  <c r="AY40" i="12"/>
  <c r="E53" i="1" s="1"/>
  <c r="AY41" i="12"/>
  <c r="F53" i="1" s="1"/>
  <c r="AY42" i="12"/>
  <c r="G53" i="1" s="1"/>
  <c r="AY43" i="12"/>
  <c r="H53" i="1" s="1"/>
  <c r="AY44" i="12"/>
  <c r="I53" i="1" s="1"/>
  <c r="AY45" i="12"/>
  <c r="J53" i="1" s="1"/>
  <c r="AY46" i="12"/>
  <c r="K53" i="1" s="1"/>
  <c r="AY47" i="12"/>
  <c r="L53" i="1" s="1"/>
  <c r="AY48" i="12"/>
  <c r="M53" i="1" s="1"/>
  <c r="AY49" i="12"/>
  <c r="N53" i="1" s="1"/>
  <c r="AY50" i="12"/>
  <c r="O53" i="1" s="1"/>
  <c r="AY51" i="12"/>
  <c r="P53" i="1" s="1"/>
  <c r="AY52" i="12"/>
  <c r="BD49" i="12"/>
  <c r="N55" i="1" s="1"/>
  <c r="BD40" i="12"/>
  <c r="E55" i="1" s="1"/>
  <c r="BD41" i="12"/>
  <c r="F55" i="1" s="1"/>
  <c r="BD42" i="12"/>
  <c r="G55" i="1" s="1"/>
  <c r="BD43" i="12"/>
  <c r="H55" i="1"/>
  <c r="BD44" i="12"/>
  <c r="I55" i="1" s="1"/>
  <c r="BD45" i="12"/>
  <c r="J55" i="1" s="1"/>
  <c r="BD46" i="12"/>
  <c r="K55" i="1" s="1"/>
  <c r="BD47" i="12"/>
  <c r="L55" i="1" s="1"/>
  <c r="BD48" i="12"/>
  <c r="M55" i="1" s="1"/>
  <c r="BD50" i="12"/>
  <c r="O55" i="1" s="1"/>
  <c r="BD51" i="12"/>
  <c r="P55" i="1" s="1"/>
  <c r="BD52" i="12"/>
  <c r="BD39" i="12"/>
  <c r="D55" i="1" s="1"/>
  <c r="BC40" i="12"/>
  <c r="E59" i="1" s="1"/>
  <c r="BC41" i="12"/>
  <c r="F59" i="1" s="1"/>
  <c r="BC42" i="12"/>
  <c r="G59" i="1" s="1"/>
  <c r="BC43" i="12"/>
  <c r="H59" i="1" s="1"/>
  <c r="BC44" i="12"/>
  <c r="I59" i="1" s="1"/>
  <c r="BC45" i="12"/>
  <c r="J59" i="1" s="1"/>
  <c r="BC46" i="12"/>
  <c r="K59" i="1" s="1"/>
  <c r="BC47" i="12"/>
  <c r="L59" i="1" s="1"/>
  <c r="BC48" i="12"/>
  <c r="M59" i="1" s="1"/>
  <c r="BC49" i="12"/>
  <c r="N59" i="1" s="1"/>
  <c r="BC50" i="12"/>
  <c r="O59" i="1" s="1"/>
  <c r="BC51" i="12"/>
  <c r="P59" i="1" s="1"/>
  <c r="BC52" i="12"/>
  <c r="BC39" i="12"/>
  <c r="D59" i="1" s="1"/>
  <c r="BB40" i="12"/>
  <c r="E58" i="1" s="1"/>
  <c r="BB41" i="12"/>
  <c r="F58" i="1" s="1"/>
  <c r="BB42" i="12"/>
  <c r="G58" i="1" s="1"/>
  <c r="BB43" i="12"/>
  <c r="H58" i="1" s="1"/>
  <c r="BB44" i="12"/>
  <c r="I58" i="1" s="1"/>
  <c r="BB45" i="12"/>
  <c r="J58" i="1" s="1"/>
  <c r="BB46" i="12"/>
  <c r="K58" i="1" s="1"/>
  <c r="BB47" i="12"/>
  <c r="L58" i="1" s="1"/>
  <c r="BB48" i="12"/>
  <c r="M58" i="1" s="1"/>
  <c r="BB49" i="12"/>
  <c r="N58" i="1" s="1"/>
  <c r="BB50" i="12"/>
  <c r="O58" i="1" s="1"/>
  <c r="BB51" i="12"/>
  <c r="P58" i="1" s="1"/>
  <c r="BB52" i="12"/>
  <c r="BB39" i="12"/>
  <c r="D58" i="1" s="1"/>
  <c r="BB23" i="12"/>
  <c r="D44" i="1" s="1"/>
  <c r="BE39" i="12"/>
  <c r="D57" i="1" s="1"/>
  <c r="BA40" i="12"/>
  <c r="E56" i="1" s="1"/>
  <c r="BA41" i="12"/>
  <c r="F56" i="1" s="1"/>
  <c r="BA42" i="12"/>
  <c r="G56" i="1" s="1"/>
  <c r="BA43" i="12"/>
  <c r="H56" i="1" s="1"/>
  <c r="BA44" i="12"/>
  <c r="I56" i="1" s="1"/>
  <c r="BA45" i="12"/>
  <c r="J56" i="1" s="1"/>
  <c r="BA46" i="12"/>
  <c r="K56" i="1" s="1"/>
  <c r="BA47" i="12"/>
  <c r="L56" i="1" s="1"/>
  <c r="BA48" i="12"/>
  <c r="M56" i="1" s="1"/>
  <c r="BA49" i="12"/>
  <c r="N56" i="1" s="1"/>
  <c r="BA50" i="12"/>
  <c r="O56" i="1" s="1"/>
  <c r="BA51" i="12"/>
  <c r="P56" i="1" s="1"/>
  <c r="BA52" i="12"/>
  <c r="BA39" i="12"/>
  <c r="D56" i="1" s="1"/>
  <c r="BA23" i="12"/>
  <c r="D42" i="1" s="1"/>
  <c r="AX39" i="12"/>
  <c r="D52" i="1" s="1"/>
  <c r="AX51" i="12"/>
  <c r="P52" i="1" s="1"/>
  <c r="AX40" i="12"/>
  <c r="E52" i="1" s="1"/>
  <c r="AX41" i="12"/>
  <c r="F52" i="1" s="1"/>
  <c r="AX42" i="12"/>
  <c r="G52" i="1" s="1"/>
  <c r="AX43" i="12"/>
  <c r="H52" i="1" s="1"/>
  <c r="AX44" i="12"/>
  <c r="I52" i="1" s="1"/>
  <c r="AX45" i="12"/>
  <c r="AX46" i="12"/>
  <c r="K52" i="1" s="1"/>
  <c r="AX47" i="12"/>
  <c r="L52" i="1" s="1"/>
  <c r="AX48" i="12"/>
  <c r="M52" i="1" s="1"/>
  <c r="AX49" i="12"/>
  <c r="N52" i="1" s="1"/>
  <c r="AX50" i="12"/>
  <c r="O52" i="1" s="1"/>
  <c r="AX52" i="12"/>
  <c r="BE40" i="12"/>
  <c r="E57" i="1" s="1"/>
  <c r="BE41" i="12"/>
  <c r="F57" i="1" s="1"/>
  <c r="BE42" i="12"/>
  <c r="G57" i="1" s="1"/>
  <c r="BE43" i="12"/>
  <c r="H57" i="1" s="1"/>
  <c r="BE44" i="12"/>
  <c r="I57" i="1" s="1"/>
  <c r="BE45" i="12"/>
  <c r="J57" i="1" s="1"/>
  <c r="BE46" i="12"/>
  <c r="K57" i="1" s="1"/>
  <c r="BE47" i="12"/>
  <c r="L57" i="1" s="1"/>
  <c r="BE48" i="12"/>
  <c r="M57" i="1" s="1"/>
  <c r="BE49" i="12"/>
  <c r="N57" i="1" s="1"/>
  <c r="BE50" i="12"/>
  <c r="O57" i="1" s="1"/>
  <c r="BE51" i="12"/>
  <c r="P57" i="1" s="1"/>
  <c r="BE52" i="12"/>
  <c r="BE24" i="12"/>
  <c r="E43" i="1" s="1"/>
  <c r="BE25" i="12"/>
  <c r="F43" i="1" s="1"/>
  <c r="BE26" i="12"/>
  <c r="G43" i="1" s="1"/>
  <c r="BE27" i="12"/>
  <c r="H43" i="1" s="1"/>
  <c r="BE28" i="12"/>
  <c r="I43" i="1" s="1"/>
  <c r="BE29" i="12"/>
  <c r="J43" i="1" s="1"/>
  <c r="BE30" i="12"/>
  <c r="K43" i="1" s="1"/>
  <c r="BE31" i="12"/>
  <c r="L43" i="1" s="1"/>
  <c r="BE32" i="12"/>
  <c r="M43" i="1" s="1"/>
  <c r="BE33" i="12"/>
  <c r="N43" i="1" s="1"/>
  <c r="BE34" i="12"/>
  <c r="O43" i="1" s="1"/>
  <c r="BE35" i="12"/>
  <c r="P43" i="1" s="1"/>
  <c r="BE23" i="12"/>
  <c r="D43" i="1" s="1"/>
  <c r="BD23" i="12"/>
  <c r="D41" i="1" s="1"/>
  <c r="BD24" i="12"/>
  <c r="E41" i="1" s="1"/>
  <c r="BD25" i="12"/>
  <c r="F41" i="1" s="1"/>
  <c r="BD26" i="12"/>
  <c r="G41" i="1" s="1"/>
  <c r="BD27" i="12"/>
  <c r="H41" i="1" s="1"/>
  <c r="BD28" i="12"/>
  <c r="I41" i="1" s="1"/>
  <c r="BD29" i="12"/>
  <c r="J41" i="1" s="1"/>
  <c r="BD30" i="12"/>
  <c r="K41" i="1" s="1"/>
  <c r="BD31" i="12"/>
  <c r="L41" i="1" s="1"/>
  <c r="BD32" i="12"/>
  <c r="M41" i="1" s="1"/>
  <c r="BD33" i="12"/>
  <c r="N41" i="1" s="1"/>
  <c r="BD34" i="12"/>
  <c r="O41" i="1" s="1"/>
  <c r="BD35" i="12"/>
  <c r="P41" i="1" s="1"/>
  <c r="BC24" i="12"/>
  <c r="E45" i="1" s="1"/>
  <c r="BC25" i="12"/>
  <c r="F45" i="1" s="1"/>
  <c r="BC26" i="12"/>
  <c r="G45" i="1" s="1"/>
  <c r="BC27" i="12"/>
  <c r="H45" i="1" s="1"/>
  <c r="BC28" i="12"/>
  <c r="I45" i="1" s="1"/>
  <c r="BC29" i="12"/>
  <c r="J45" i="1" s="1"/>
  <c r="BC30" i="12"/>
  <c r="K45" i="1" s="1"/>
  <c r="BC31" i="12"/>
  <c r="L45" i="1" s="1"/>
  <c r="BC32" i="12"/>
  <c r="M45" i="1" s="1"/>
  <c r="BC33" i="12"/>
  <c r="N45" i="1" s="1"/>
  <c r="BC34" i="12"/>
  <c r="O45" i="1" s="1"/>
  <c r="BC35" i="12"/>
  <c r="P45" i="1" s="1"/>
  <c r="BC23" i="12"/>
  <c r="D45" i="1" s="1"/>
  <c r="BB33" i="12"/>
  <c r="N44" i="1" s="1"/>
  <c r="BB24" i="12"/>
  <c r="E44" i="1" s="1"/>
  <c r="BB25" i="12"/>
  <c r="F44" i="1" s="1"/>
  <c r="BB26" i="12"/>
  <c r="G44" i="1" s="1"/>
  <c r="BB27" i="12"/>
  <c r="H44" i="1" s="1"/>
  <c r="BB28" i="12"/>
  <c r="I44" i="1" s="1"/>
  <c r="BB29" i="12"/>
  <c r="J44" i="1" s="1"/>
  <c r="BB30" i="12"/>
  <c r="K44" i="1" s="1"/>
  <c r="BB31" i="12"/>
  <c r="L44" i="1" s="1"/>
  <c r="BB32" i="12"/>
  <c r="M44" i="1" s="1"/>
  <c r="BB34" i="12"/>
  <c r="O44" i="1" s="1"/>
  <c r="BB35" i="12"/>
  <c r="P44" i="1" s="1"/>
  <c r="BA24" i="12"/>
  <c r="E42" i="1" s="1"/>
  <c r="BA25" i="12"/>
  <c r="F42" i="1" s="1"/>
  <c r="BA26" i="12"/>
  <c r="G42" i="1" s="1"/>
  <c r="BA27" i="12"/>
  <c r="H42" i="1" s="1"/>
  <c r="BA28" i="12"/>
  <c r="I42" i="1" s="1"/>
  <c r="BA29" i="12"/>
  <c r="J42" i="1" s="1"/>
  <c r="BA30" i="12"/>
  <c r="K42" i="1" s="1"/>
  <c r="BA31" i="12"/>
  <c r="L42" i="1" s="1"/>
  <c r="BA32" i="12"/>
  <c r="M42" i="1" s="1"/>
  <c r="BA33" i="12"/>
  <c r="N42" i="1" s="1"/>
  <c r="BA34" i="12"/>
  <c r="O42" i="1" s="1"/>
  <c r="BA35" i="12"/>
  <c r="P42" i="1" s="1"/>
  <c r="AY32" i="12"/>
  <c r="M39" i="1" s="1"/>
  <c r="AY24" i="12"/>
  <c r="E39" i="1" s="1"/>
  <c r="AY25" i="12"/>
  <c r="F39" i="1" s="1"/>
  <c r="AY26" i="12"/>
  <c r="G39" i="1" s="1"/>
  <c r="AY27" i="12"/>
  <c r="H39" i="1" s="1"/>
  <c r="AY28" i="12"/>
  <c r="I39" i="1" s="1"/>
  <c r="AY29" i="12"/>
  <c r="J39" i="1" s="1"/>
  <c r="AY30" i="12"/>
  <c r="K39" i="1" s="1"/>
  <c r="AY31" i="12"/>
  <c r="L39" i="1" s="1"/>
  <c r="AY33" i="12"/>
  <c r="N39" i="1" s="1"/>
  <c r="AY34" i="12"/>
  <c r="O39" i="1" s="1"/>
  <c r="AY35" i="12"/>
  <c r="P39" i="1" s="1"/>
  <c r="AY23" i="12"/>
  <c r="D39" i="1" s="1"/>
  <c r="AX24" i="12"/>
  <c r="E38" i="1" s="1"/>
  <c r="AX25" i="12"/>
  <c r="F38" i="1" s="1"/>
  <c r="AX26" i="12"/>
  <c r="G38" i="1" s="1"/>
  <c r="AX27" i="12"/>
  <c r="H38" i="1" s="1"/>
  <c r="AX28" i="12"/>
  <c r="I38" i="1" s="1"/>
  <c r="AX29" i="12"/>
  <c r="AX30" i="12"/>
  <c r="K38" i="1" s="1"/>
  <c r="AX31" i="12"/>
  <c r="L38" i="1" s="1"/>
  <c r="AX32" i="12"/>
  <c r="M38" i="1" s="1"/>
  <c r="AX33" i="12"/>
  <c r="N38" i="1"/>
  <c r="AX34" i="12"/>
  <c r="O38" i="1" s="1"/>
  <c r="AX35" i="12"/>
  <c r="P38" i="1" s="1"/>
  <c r="AX23" i="12"/>
  <c r="D38" i="1" s="1"/>
  <c r="BE7" i="12"/>
  <c r="E29" i="1" s="1"/>
  <c r="BE8" i="12"/>
  <c r="F29" i="1" s="1"/>
  <c r="BE9" i="12"/>
  <c r="G29" i="1" s="1"/>
  <c r="BE10" i="12"/>
  <c r="H29" i="1" s="1"/>
  <c r="BE11" i="12"/>
  <c r="I29" i="1" s="1"/>
  <c r="BE12" i="12"/>
  <c r="J29" i="1" s="1"/>
  <c r="BE13" i="12"/>
  <c r="K29" i="1" s="1"/>
  <c r="BE14" i="12"/>
  <c r="L29" i="1" s="1"/>
  <c r="BE15" i="12"/>
  <c r="M29" i="1" s="1"/>
  <c r="BE16" i="12"/>
  <c r="N29" i="1" s="1"/>
  <c r="BE17" i="12"/>
  <c r="O29" i="1" s="1"/>
  <c r="BE18" i="12"/>
  <c r="P29" i="1" s="1"/>
  <c r="BE6" i="12"/>
  <c r="D29" i="1" s="1"/>
  <c r="BD18" i="12"/>
  <c r="P27" i="1" s="1"/>
  <c r="BD7" i="12"/>
  <c r="E27" i="1" s="1"/>
  <c r="BD8" i="12"/>
  <c r="F27" i="1" s="1"/>
  <c r="BD9" i="12"/>
  <c r="G27" i="1" s="1"/>
  <c r="BD10" i="12"/>
  <c r="H27" i="1" s="1"/>
  <c r="BD11" i="12"/>
  <c r="I27" i="1" s="1"/>
  <c r="BD12" i="12"/>
  <c r="J27" i="1" s="1"/>
  <c r="BD13" i="12"/>
  <c r="K27" i="1" s="1"/>
  <c r="BD14" i="12"/>
  <c r="L27" i="1" s="1"/>
  <c r="BD15" i="12"/>
  <c r="M27" i="1" s="1"/>
  <c r="BD16" i="12"/>
  <c r="N27" i="1" s="1"/>
  <c r="BD17" i="12"/>
  <c r="O27" i="1" s="1"/>
  <c r="BD6" i="12"/>
  <c r="D27" i="1" s="1"/>
  <c r="BC6" i="12"/>
  <c r="D31" i="1" s="1"/>
  <c r="BC7" i="12"/>
  <c r="E31" i="1" s="1"/>
  <c r="BC8" i="12"/>
  <c r="F31" i="1" s="1"/>
  <c r="BC9" i="12"/>
  <c r="G31" i="1" s="1"/>
  <c r="BC10" i="12"/>
  <c r="H31" i="1" s="1"/>
  <c r="BC11" i="12"/>
  <c r="I31" i="1" s="1"/>
  <c r="BC12" i="12"/>
  <c r="J31" i="1" s="1"/>
  <c r="BC13" i="12"/>
  <c r="K31" i="1" s="1"/>
  <c r="BC14" i="12"/>
  <c r="L31" i="1" s="1"/>
  <c r="BC15" i="12"/>
  <c r="M31" i="1" s="1"/>
  <c r="BC16" i="12"/>
  <c r="N31" i="1" s="1"/>
  <c r="BC17" i="12"/>
  <c r="O31" i="1" s="1"/>
  <c r="BC18" i="12"/>
  <c r="P31" i="1" s="1"/>
  <c r="BB7" i="12"/>
  <c r="E30" i="1" s="1"/>
  <c r="BB8" i="12"/>
  <c r="F30" i="1" s="1"/>
  <c r="BB9" i="12"/>
  <c r="G30" i="1" s="1"/>
  <c r="BB10" i="12"/>
  <c r="H30" i="1" s="1"/>
  <c r="BB11" i="12"/>
  <c r="I30" i="1" s="1"/>
  <c r="BB12" i="12"/>
  <c r="J30" i="1" s="1"/>
  <c r="BB13" i="12"/>
  <c r="K30" i="1" s="1"/>
  <c r="BB14" i="12"/>
  <c r="L30" i="1" s="1"/>
  <c r="BB15" i="12"/>
  <c r="M30" i="1" s="1"/>
  <c r="BB16" i="12"/>
  <c r="N30" i="1" s="1"/>
  <c r="BB17" i="12"/>
  <c r="O30" i="1" s="1"/>
  <c r="BB18" i="12"/>
  <c r="P30" i="1" s="1"/>
  <c r="BB6" i="12"/>
  <c r="D30" i="1" s="1"/>
  <c r="BA6" i="12"/>
  <c r="D28" i="1" s="1"/>
  <c r="AZ7" i="12"/>
  <c r="E26" i="1" s="1"/>
  <c r="AZ8" i="12"/>
  <c r="F26" i="1" s="1"/>
  <c r="AZ9" i="12"/>
  <c r="G26" i="1" s="1"/>
  <c r="AZ10" i="12"/>
  <c r="H26" i="1" s="1"/>
  <c r="AZ11" i="12"/>
  <c r="I26" i="1" s="1"/>
  <c r="AZ12" i="12"/>
  <c r="J26" i="1" s="1"/>
  <c r="AZ13" i="12"/>
  <c r="K26" i="1" s="1"/>
  <c r="AZ14" i="12"/>
  <c r="L26" i="1" s="1"/>
  <c r="AZ15" i="12"/>
  <c r="M26" i="1" s="1"/>
  <c r="AZ16" i="12"/>
  <c r="N26" i="1" s="1"/>
  <c r="AZ17" i="12"/>
  <c r="O26" i="1" s="1"/>
  <c r="AZ18" i="12"/>
  <c r="P26" i="1" s="1"/>
  <c r="AZ6" i="12"/>
  <c r="D26" i="1" s="1"/>
  <c r="AY14" i="12"/>
  <c r="L25" i="1" s="1"/>
  <c r="AY7" i="12"/>
  <c r="E25" i="1" s="1"/>
  <c r="AY8" i="12"/>
  <c r="F25" i="1"/>
  <c r="AY9" i="12"/>
  <c r="G25" i="1" s="1"/>
  <c r="AY10" i="12"/>
  <c r="H25" i="1" s="1"/>
  <c r="AY11" i="12"/>
  <c r="I25" i="1" s="1"/>
  <c r="AY12" i="12"/>
  <c r="J25" i="1" s="1"/>
  <c r="AY13" i="12"/>
  <c r="K25" i="1" s="1"/>
  <c r="AY15" i="12"/>
  <c r="M25" i="1" s="1"/>
  <c r="AY16" i="12"/>
  <c r="N25" i="1" s="1"/>
  <c r="AY17" i="12"/>
  <c r="O25" i="1" s="1"/>
  <c r="AY18" i="12"/>
  <c r="P25" i="1" s="1"/>
  <c r="AY6" i="12"/>
  <c r="D25" i="1" s="1"/>
  <c r="AX7" i="12"/>
  <c r="E24" i="1" s="1"/>
  <c r="AX8" i="12"/>
  <c r="F24" i="1" s="1"/>
  <c r="AX9" i="12"/>
  <c r="G24" i="1" s="1"/>
  <c r="AX10" i="12"/>
  <c r="H24" i="1" s="1"/>
  <c r="AX11" i="12"/>
  <c r="I24" i="1" s="1"/>
  <c r="AX12" i="12"/>
  <c r="J24" i="1" s="1"/>
  <c r="AX13" i="12"/>
  <c r="K24" i="1" s="1"/>
  <c r="AX14" i="12"/>
  <c r="L24" i="1" s="1"/>
  <c r="AX15" i="12"/>
  <c r="M24" i="1" s="1"/>
  <c r="AX16" i="12"/>
  <c r="N24" i="1" s="1"/>
  <c r="AX17" i="12"/>
  <c r="O24" i="1" s="1"/>
  <c r="AX18" i="12"/>
  <c r="P24" i="1" s="1"/>
  <c r="AX6" i="12"/>
  <c r="D24" i="1" s="1"/>
  <c r="BA18" i="12"/>
  <c r="P28" i="1" s="1"/>
  <c r="BA17" i="12"/>
  <c r="O28" i="1" s="1"/>
  <c r="BA16" i="12"/>
  <c r="N28" i="1" s="1"/>
  <c r="BA15" i="12"/>
  <c r="M28" i="1" s="1"/>
  <c r="BA14" i="12"/>
  <c r="L28" i="1" s="1"/>
  <c r="BA13" i="12"/>
  <c r="K28" i="1" s="1"/>
  <c r="BA12" i="12"/>
  <c r="J28" i="1" s="1"/>
  <c r="BA11" i="12"/>
  <c r="I28" i="1" s="1"/>
  <c r="BA10" i="12"/>
  <c r="H28" i="1" s="1"/>
  <c r="BA9" i="12"/>
  <c r="G28" i="1" s="1"/>
  <c r="BA8" i="12"/>
  <c r="F28" i="1" s="1"/>
  <c r="BA7" i="12"/>
  <c r="E28" i="1" s="1"/>
  <c r="D8" i="1"/>
  <c r="X5" i="3"/>
  <c r="E13" i="1" s="1"/>
  <c r="X6" i="3"/>
  <c r="F13" i="1" s="1"/>
  <c r="X7" i="3"/>
  <c r="G13" i="1" s="1"/>
  <c r="X8" i="3"/>
  <c r="H13" i="1" s="1"/>
  <c r="X9" i="3"/>
  <c r="I13" i="1" s="1"/>
  <c r="X10" i="3"/>
  <c r="J13" i="1" s="1"/>
  <c r="X11" i="3"/>
  <c r="K13" i="1" s="1"/>
  <c r="X12" i="3"/>
  <c r="L13" i="1" s="1"/>
  <c r="X13" i="3"/>
  <c r="M13" i="1" s="1"/>
  <c r="X14" i="3"/>
  <c r="N13" i="1" s="1"/>
  <c r="X15" i="3"/>
  <c r="O13" i="1" s="1"/>
  <c r="X16" i="3"/>
  <c r="P13" i="1" s="1"/>
  <c r="X4" i="3"/>
  <c r="D13" i="1" s="1"/>
  <c r="W8" i="3"/>
  <c r="H11" i="1" s="1"/>
  <c r="W5" i="3"/>
  <c r="E11" i="1" s="1"/>
  <c r="W6" i="3"/>
  <c r="F11" i="1" s="1"/>
  <c r="W7" i="3"/>
  <c r="G11" i="1" s="1"/>
  <c r="W9" i="3"/>
  <c r="I11" i="1" s="1"/>
  <c r="W10" i="3"/>
  <c r="J11" i="1" s="1"/>
  <c r="W11" i="3"/>
  <c r="K11" i="1" s="1"/>
  <c r="W12" i="3"/>
  <c r="L11" i="1" s="1"/>
  <c r="W13" i="3"/>
  <c r="M11" i="1" s="1"/>
  <c r="W14" i="3"/>
  <c r="N11" i="1" s="1"/>
  <c r="W15" i="3"/>
  <c r="O11" i="1" s="1"/>
  <c r="W16" i="3"/>
  <c r="P11" i="1" s="1"/>
  <c r="W4" i="3"/>
  <c r="D11" i="1" s="1"/>
  <c r="V4" i="3"/>
  <c r="D15" i="1" s="1"/>
  <c r="V5" i="3"/>
  <c r="E15" i="1" s="1"/>
  <c r="V6" i="3"/>
  <c r="F15" i="1" s="1"/>
  <c r="V7" i="3"/>
  <c r="G15" i="1" s="1"/>
  <c r="V8" i="3"/>
  <c r="H15" i="1" s="1"/>
  <c r="V9" i="3"/>
  <c r="I15" i="1" s="1"/>
  <c r="V10" i="3"/>
  <c r="J15" i="1" s="1"/>
  <c r="V11" i="3"/>
  <c r="K15" i="1" s="1"/>
  <c r="V12" i="3"/>
  <c r="L15" i="1" s="1"/>
  <c r="V13" i="3"/>
  <c r="M15" i="1" s="1"/>
  <c r="V14" i="3"/>
  <c r="N15" i="1" s="1"/>
  <c r="V15" i="3"/>
  <c r="O15" i="1" s="1"/>
  <c r="V16" i="3"/>
  <c r="P15" i="1" s="1"/>
  <c r="U5" i="3"/>
  <c r="E14" i="1" s="1"/>
  <c r="U6" i="3"/>
  <c r="F14" i="1" s="1"/>
  <c r="U7" i="3"/>
  <c r="G14" i="1" s="1"/>
  <c r="U8" i="3"/>
  <c r="H14" i="1" s="1"/>
  <c r="U9" i="3"/>
  <c r="I14" i="1" s="1"/>
  <c r="U10" i="3"/>
  <c r="J14" i="1" s="1"/>
  <c r="U11" i="3"/>
  <c r="K14" i="1" s="1"/>
  <c r="U12" i="3"/>
  <c r="L14" i="1" s="1"/>
  <c r="U13" i="3"/>
  <c r="M14" i="1" s="1"/>
  <c r="U14" i="3"/>
  <c r="N14" i="1" s="1"/>
  <c r="U15" i="3"/>
  <c r="O14" i="1" s="1"/>
  <c r="U16" i="3"/>
  <c r="P14" i="1" s="1"/>
  <c r="U4" i="3"/>
  <c r="D14" i="1" s="1"/>
  <c r="T16" i="3"/>
  <c r="P12" i="1" s="1"/>
  <c r="T15" i="3"/>
  <c r="O12" i="1" s="1"/>
  <c r="T4" i="3"/>
  <c r="D12" i="1" s="1"/>
  <c r="T5" i="3"/>
  <c r="E12" i="1" s="1"/>
  <c r="T6" i="3"/>
  <c r="F12" i="1" s="1"/>
  <c r="T7" i="3"/>
  <c r="G12" i="1" s="1"/>
  <c r="T8" i="3"/>
  <c r="H12" i="1" s="1"/>
  <c r="T9" i="3"/>
  <c r="I12" i="1" s="1"/>
  <c r="T10" i="3"/>
  <c r="J12" i="1" s="1"/>
  <c r="T11" i="3"/>
  <c r="K12" i="1" s="1"/>
  <c r="T12" i="3"/>
  <c r="L12" i="1" s="1"/>
  <c r="T13" i="3"/>
  <c r="M12" i="1" s="1"/>
  <c r="T14" i="3"/>
  <c r="N12" i="1" s="1"/>
  <c r="S5" i="3"/>
  <c r="E10" i="1" s="1"/>
  <c r="S6" i="3"/>
  <c r="F10" i="1" s="1"/>
  <c r="S7" i="3"/>
  <c r="G10" i="1" s="1"/>
  <c r="S8" i="3"/>
  <c r="H10" i="1" s="1"/>
  <c r="S9" i="3"/>
  <c r="I10" i="1" s="1"/>
  <c r="S10" i="3"/>
  <c r="J10" i="1" s="1"/>
  <c r="S11" i="3"/>
  <c r="K10" i="1" s="1"/>
  <c r="S12" i="3"/>
  <c r="L10" i="1" s="1"/>
  <c r="S13" i="3"/>
  <c r="M10" i="1" s="1"/>
  <c r="S14" i="3"/>
  <c r="N10" i="1" s="1"/>
  <c r="S15" i="3"/>
  <c r="O10" i="1" s="1"/>
  <c r="S16" i="3"/>
  <c r="P10" i="1" s="1"/>
  <c r="S4" i="3"/>
  <c r="D10" i="1" s="1"/>
  <c r="R5" i="3"/>
  <c r="E9" i="1" s="1"/>
  <c r="R6" i="3"/>
  <c r="F9" i="1" s="1"/>
  <c r="R7" i="3"/>
  <c r="G9" i="1" s="1"/>
  <c r="R8" i="3"/>
  <c r="H9" i="1" s="1"/>
  <c r="R9" i="3"/>
  <c r="I9" i="1" s="1"/>
  <c r="R10" i="3"/>
  <c r="J9" i="1" s="1"/>
  <c r="R11" i="3"/>
  <c r="K9" i="1" s="1"/>
  <c r="R12" i="3"/>
  <c r="L9" i="1" s="1"/>
  <c r="R13" i="3"/>
  <c r="M9" i="1" s="1"/>
  <c r="R14" i="3"/>
  <c r="N9" i="1" s="1"/>
  <c r="R15" i="3"/>
  <c r="O9" i="1" s="1"/>
  <c r="R16" i="3"/>
  <c r="P9" i="1" s="1"/>
  <c r="R4" i="3"/>
  <c r="D9" i="1" s="1"/>
  <c r="Q16" i="3"/>
  <c r="P8" i="1" s="1"/>
  <c r="Q5" i="3"/>
  <c r="E8" i="1" s="1"/>
  <c r="Q6" i="3"/>
  <c r="F8" i="1" s="1"/>
  <c r="Q7" i="3"/>
  <c r="G8" i="1" s="1"/>
  <c r="Q8" i="3"/>
  <c r="H8" i="1" s="1"/>
  <c r="Q9" i="3"/>
  <c r="I8" i="1" s="1"/>
  <c r="Q10" i="3"/>
  <c r="J8" i="1" s="1"/>
  <c r="Q11" i="3"/>
  <c r="K8" i="1" s="1"/>
  <c r="Q12" i="3"/>
  <c r="L8" i="1" s="1"/>
  <c r="Q13" i="3"/>
  <c r="M8" i="1" s="1"/>
  <c r="Q14" i="3"/>
  <c r="N8" i="1" s="1"/>
  <c r="Q15" i="3"/>
  <c r="O8" i="1" s="1"/>
  <c r="BQ143" i="7"/>
  <c r="I255" i="1" s="1"/>
  <c r="CF144" i="6"/>
  <c r="AH143" i="6"/>
  <c r="I127" i="1" s="1"/>
  <c r="F12" i="4"/>
  <c r="AI143" i="6"/>
  <c r="AJ143" i="6"/>
  <c r="AK143" i="6"/>
  <c r="AL143" i="6"/>
  <c r="M127" i="1" s="1"/>
  <c r="AM143" i="6"/>
  <c r="N127" i="1" s="1"/>
  <c r="AN143" i="6"/>
  <c r="O127" i="1" s="1"/>
  <c r="AO143" i="6"/>
  <c r="AG143" i="6"/>
  <c r="H127" i="1" s="1"/>
  <c r="AY434" i="4"/>
  <c r="AY435" i="4"/>
  <c r="AY436" i="4"/>
  <c r="AY437" i="4"/>
  <c r="AY438" i="4"/>
  <c r="AY439" i="4"/>
  <c r="AY440" i="4"/>
  <c r="AY441" i="4"/>
  <c r="AY442" i="4"/>
  <c r="AY443" i="4"/>
  <c r="AY444" i="4"/>
  <c r="AY445" i="4"/>
  <c r="AY446" i="4"/>
  <c r="AY447" i="4"/>
  <c r="AY448" i="4"/>
  <c r="AY449" i="4"/>
  <c r="AY450" i="4"/>
  <c r="AY451" i="4"/>
  <c r="AY452" i="4"/>
  <c r="AY453" i="4"/>
  <c r="AY454" i="4"/>
  <c r="AY455" i="4"/>
  <c r="AY456" i="4"/>
  <c r="AY457" i="4"/>
  <c r="AY458" i="4"/>
  <c r="AY459" i="4"/>
  <c r="AY460" i="4"/>
  <c r="AY461" i="4"/>
  <c r="AY462" i="4"/>
  <c r="AY463" i="4"/>
  <c r="AY464" i="4"/>
  <c r="AY465" i="4"/>
  <c r="AY466" i="4"/>
  <c r="AY467" i="4"/>
  <c r="AY468" i="4"/>
  <c r="AY469" i="4"/>
  <c r="AY470" i="4"/>
  <c r="AY471" i="4"/>
  <c r="AY472" i="4"/>
  <c r="AY473" i="4"/>
  <c r="AY474" i="4"/>
  <c r="AY475" i="4"/>
  <c r="AY476" i="4"/>
  <c r="AY477" i="4"/>
  <c r="AY478" i="4"/>
  <c r="AY479" i="4"/>
  <c r="AY480" i="4"/>
  <c r="AY481" i="4"/>
  <c r="AY482" i="4"/>
  <c r="AY483" i="4"/>
  <c r="AY484" i="4"/>
  <c r="AY485" i="4"/>
  <c r="AY486" i="4"/>
  <c r="AY487" i="4"/>
  <c r="AY488" i="4"/>
  <c r="AY489" i="4"/>
  <c r="AY490" i="4"/>
  <c r="AY491" i="4"/>
  <c r="AY492" i="4"/>
  <c r="AY493" i="4"/>
  <c r="AY494" i="4"/>
  <c r="AY495" i="4"/>
  <c r="AY496" i="4"/>
  <c r="AY497" i="4"/>
  <c r="AY498" i="4"/>
  <c r="AY499" i="4"/>
  <c r="AY500" i="4"/>
  <c r="AY501" i="4"/>
  <c r="AY502" i="4"/>
  <c r="AY503" i="4"/>
  <c r="AY504" i="4"/>
  <c r="AY505" i="4"/>
  <c r="AY506" i="4"/>
  <c r="AY507" i="4"/>
  <c r="AY508" i="4"/>
  <c r="AY509" i="4"/>
  <c r="AY510" i="4"/>
  <c r="AY511" i="4"/>
  <c r="AY512" i="4"/>
  <c r="AY513" i="4"/>
  <c r="AY514" i="4"/>
  <c r="AY515" i="4"/>
  <c r="AY516" i="4"/>
  <c r="AY517" i="4"/>
  <c r="AY518" i="4"/>
  <c r="AY519" i="4"/>
  <c r="AY520" i="4"/>
  <c r="AY521" i="4"/>
  <c r="AY522" i="4"/>
  <c r="AY523" i="4"/>
  <c r="AY524" i="4"/>
  <c r="AY525" i="4"/>
  <c r="AY526" i="4"/>
  <c r="AY527" i="4"/>
  <c r="AY528" i="4"/>
  <c r="AY529" i="4"/>
  <c r="AY530" i="4"/>
  <c r="AY531" i="4"/>
  <c r="AY532" i="4"/>
  <c r="AY533" i="4"/>
  <c r="AY534" i="4"/>
  <c r="AY535" i="4"/>
  <c r="AY536" i="4"/>
  <c r="AY537" i="4"/>
  <c r="AY538" i="4"/>
  <c r="AY539" i="4"/>
  <c r="AY540" i="4"/>
  <c r="AY541" i="4"/>
  <c r="AY542" i="4"/>
  <c r="AY543" i="4"/>
  <c r="AY544" i="4"/>
  <c r="AY545" i="4"/>
  <c r="AY546" i="4"/>
  <c r="AY547" i="4"/>
  <c r="AY548" i="4"/>
  <c r="AY549" i="4"/>
  <c r="AY550" i="4"/>
  <c r="AY551" i="4"/>
  <c r="AY552" i="4"/>
  <c r="AY553" i="4"/>
  <c r="AY554" i="4"/>
  <c r="AY555" i="4"/>
  <c r="AY556" i="4"/>
  <c r="AY557" i="4"/>
  <c r="AY558" i="4"/>
  <c r="AY559" i="4"/>
  <c r="AY560" i="4"/>
  <c r="AY561" i="4"/>
  <c r="AY562" i="4"/>
  <c r="AY563" i="4"/>
  <c r="AY564" i="4"/>
  <c r="AX434" i="4"/>
  <c r="AX435" i="4"/>
  <c r="AX436" i="4"/>
  <c r="AX437" i="4"/>
  <c r="AX438" i="4"/>
  <c r="AX439" i="4"/>
  <c r="AX440" i="4"/>
  <c r="AX441" i="4"/>
  <c r="AX442" i="4"/>
  <c r="AX443" i="4"/>
  <c r="AX444" i="4"/>
  <c r="AX445" i="4"/>
  <c r="AX446" i="4"/>
  <c r="AX447" i="4"/>
  <c r="AX448" i="4"/>
  <c r="AX449" i="4"/>
  <c r="AX450" i="4"/>
  <c r="AX451" i="4"/>
  <c r="AX452" i="4"/>
  <c r="AX453" i="4"/>
  <c r="AX454" i="4"/>
  <c r="AX455" i="4"/>
  <c r="AX456" i="4"/>
  <c r="AX457" i="4"/>
  <c r="AX458" i="4"/>
  <c r="AX459" i="4"/>
  <c r="AX460" i="4"/>
  <c r="AX461" i="4"/>
  <c r="AX462" i="4"/>
  <c r="AX463" i="4"/>
  <c r="AX464" i="4"/>
  <c r="AX465" i="4"/>
  <c r="AX466" i="4"/>
  <c r="AX467" i="4"/>
  <c r="AX468" i="4"/>
  <c r="AX469" i="4"/>
  <c r="AX470" i="4"/>
  <c r="AX471" i="4"/>
  <c r="AX472" i="4"/>
  <c r="AX473" i="4"/>
  <c r="AX474" i="4"/>
  <c r="AX475" i="4"/>
  <c r="AX476" i="4"/>
  <c r="AX477" i="4"/>
  <c r="AX478" i="4"/>
  <c r="AX479" i="4"/>
  <c r="AX480" i="4"/>
  <c r="AX481" i="4"/>
  <c r="AX482" i="4"/>
  <c r="AX483" i="4"/>
  <c r="AX484" i="4"/>
  <c r="AX485" i="4"/>
  <c r="AX486" i="4"/>
  <c r="AX487" i="4"/>
  <c r="AX488" i="4"/>
  <c r="AX489" i="4"/>
  <c r="AX490" i="4"/>
  <c r="AX491" i="4"/>
  <c r="AX492" i="4"/>
  <c r="AX493" i="4"/>
  <c r="AX494" i="4"/>
  <c r="AX495" i="4"/>
  <c r="AX496" i="4"/>
  <c r="AX497" i="4"/>
  <c r="AX498" i="4"/>
  <c r="AX499" i="4"/>
  <c r="AX500" i="4"/>
  <c r="AX501" i="4"/>
  <c r="AX502" i="4"/>
  <c r="AX503" i="4"/>
  <c r="AX504" i="4"/>
  <c r="AX505" i="4"/>
  <c r="AX506" i="4"/>
  <c r="AX507" i="4"/>
  <c r="AX508" i="4"/>
  <c r="AX509" i="4"/>
  <c r="AX510" i="4"/>
  <c r="AX511" i="4"/>
  <c r="AX512" i="4"/>
  <c r="AX513" i="4"/>
  <c r="AX514" i="4"/>
  <c r="AX515" i="4"/>
  <c r="AX516" i="4"/>
  <c r="AX517" i="4"/>
  <c r="AX518" i="4"/>
  <c r="AX519" i="4"/>
  <c r="AX520" i="4"/>
  <c r="AX521" i="4"/>
  <c r="AX522" i="4"/>
  <c r="AX523" i="4"/>
  <c r="AX524" i="4"/>
  <c r="AX525" i="4"/>
  <c r="AX526" i="4"/>
  <c r="AX527" i="4"/>
  <c r="AX528" i="4"/>
  <c r="AX529" i="4"/>
  <c r="AX530" i="4"/>
  <c r="AX531" i="4"/>
  <c r="AX532" i="4"/>
  <c r="AX533" i="4"/>
  <c r="AX534" i="4"/>
  <c r="AX535" i="4"/>
  <c r="AX536" i="4"/>
  <c r="AX537" i="4"/>
  <c r="AX538" i="4"/>
  <c r="AX539" i="4"/>
  <c r="AX540" i="4"/>
  <c r="AX541" i="4"/>
  <c r="AX542" i="4"/>
  <c r="AX543" i="4"/>
  <c r="AX544" i="4"/>
  <c r="AX545" i="4"/>
  <c r="AX546" i="4"/>
  <c r="AX547" i="4"/>
  <c r="AX548" i="4"/>
  <c r="AX549" i="4"/>
  <c r="AX550" i="4"/>
  <c r="AX551" i="4"/>
  <c r="AX552" i="4"/>
  <c r="AX553" i="4"/>
  <c r="AX554" i="4"/>
  <c r="AX555" i="4"/>
  <c r="AX556" i="4"/>
  <c r="AX557" i="4"/>
  <c r="AX558" i="4"/>
  <c r="AX559" i="4"/>
  <c r="AX560" i="4"/>
  <c r="AX561" i="4"/>
  <c r="AX562" i="4"/>
  <c r="AX563" i="4"/>
  <c r="AX564" i="4"/>
  <c r="AW434" i="4"/>
  <c r="AW435" i="4"/>
  <c r="AW436" i="4"/>
  <c r="AW437" i="4"/>
  <c r="AW438" i="4"/>
  <c r="AW439" i="4"/>
  <c r="AW440" i="4"/>
  <c r="AW441" i="4"/>
  <c r="AW442" i="4"/>
  <c r="AW443" i="4"/>
  <c r="AW444" i="4"/>
  <c r="AW445" i="4"/>
  <c r="AW446" i="4"/>
  <c r="AW447" i="4"/>
  <c r="AW448" i="4"/>
  <c r="AW449" i="4"/>
  <c r="AW450" i="4"/>
  <c r="AW451" i="4"/>
  <c r="AW452" i="4"/>
  <c r="AW453" i="4"/>
  <c r="AW454" i="4"/>
  <c r="AW455" i="4"/>
  <c r="AW456" i="4"/>
  <c r="AW457" i="4"/>
  <c r="AW458" i="4"/>
  <c r="AW459" i="4"/>
  <c r="AW460" i="4"/>
  <c r="AW461" i="4"/>
  <c r="AW462" i="4"/>
  <c r="AW463" i="4"/>
  <c r="AW464" i="4"/>
  <c r="AW465" i="4"/>
  <c r="AW466" i="4"/>
  <c r="AW467" i="4"/>
  <c r="AW468" i="4"/>
  <c r="AW469" i="4"/>
  <c r="AW470" i="4"/>
  <c r="AW471" i="4"/>
  <c r="AW472" i="4"/>
  <c r="AW473" i="4"/>
  <c r="AW474" i="4"/>
  <c r="AW475" i="4"/>
  <c r="AW476" i="4"/>
  <c r="AW477" i="4"/>
  <c r="AW478" i="4"/>
  <c r="AW479" i="4"/>
  <c r="AW480" i="4"/>
  <c r="AW481" i="4"/>
  <c r="AW482" i="4"/>
  <c r="AW483" i="4"/>
  <c r="AW484" i="4"/>
  <c r="AW485" i="4"/>
  <c r="AW486" i="4"/>
  <c r="AW487" i="4"/>
  <c r="AW488" i="4"/>
  <c r="AW489" i="4"/>
  <c r="AW490" i="4"/>
  <c r="AW491" i="4"/>
  <c r="AW492" i="4"/>
  <c r="AW493" i="4"/>
  <c r="AW494" i="4"/>
  <c r="AW495" i="4"/>
  <c r="AW496" i="4"/>
  <c r="AW497" i="4"/>
  <c r="AW498" i="4"/>
  <c r="AW499" i="4"/>
  <c r="AW500" i="4"/>
  <c r="AW501" i="4"/>
  <c r="AW502" i="4"/>
  <c r="AW503" i="4"/>
  <c r="AW504" i="4"/>
  <c r="AW505" i="4"/>
  <c r="AW506" i="4"/>
  <c r="AW507" i="4"/>
  <c r="AW508" i="4"/>
  <c r="AW509" i="4"/>
  <c r="AW510" i="4"/>
  <c r="AW511" i="4"/>
  <c r="AW512" i="4"/>
  <c r="AW513" i="4"/>
  <c r="AW514" i="4"/>
  <c r="AW515" i="4"/>
  <c r="AW516" i="4"/>
  <c r="AW517" i="4"/>
  <c r="AW518" i="4"/>
  <c r="AW519" i="4"/>
  <c r="AW520" i="4"/>
  <c r="AW521" i="4"/>
  <c r="AW522" i="4"/>
  <c r="AW523" i="4"/>
  <c r="AW524" i="4"/>
  <c r="AW525" i="4"/>
  <c r="AW526" i="4"/>
  <c r="AW527" i="4"/>
  <c r="AW528" i="4"/>
  <c r="AW529" i="4"/>
  <c r="AW530" i="4"/>
  <c r="AW531" i="4"/>
  <c r="AW532" i="4"/>
  <c r="AW533" i="4"/>
  <c r="AW534" i="4"/>
  <c r="AW535" i="4"/>
  <c r="AW536" i="4"/>
  <c r="AW537" i="4"/>
  <c r="AW538" i="4"/>
  <c r="AW539" i="4"/>
  <c r="AW540" i="4"/>
  <c r="AW541" i="4"/>
  <c r="AW542" i="4"/>
  <c r="AW543" i="4"/>
  <c r="AW544" i="4"/>
  <c r="AW545" i="4"/>
  <c r="AW546" i="4"/>
  <c r="AW547" i="4"/>
  <c r="AW548" i="4"/>
  <c r="AW549" i="4"/>
  <c r="AW550" i="4"/>
  <c r="AW551" i="4"/>
  <c r="AW552" i="4"/>
  <c r="AW553" i="4"/>
  <c r="AW554" i="4"/>
  <c r="AW555" i="4"/>
  <c r="AW556" i="4"/>
  <c r="AW557" i="4"/>
  <c r="AW558" i="4"/>
  <c r="AW559" i="4"/>
  <c r="AW560" i="4"/>
  <c r="AW561" i="4"/>
  <c r="AW562" i="4"/>
  <c r="AW563" i="4"/>
  <c r="AW564" i="4"/>
  <c r="AV434" i="4"/>
  <c r="AV435" i="4"/>
  <c r="AV436" i="4"/>
  <c r="AV437" i="4"/>
  <c r="AV438" i="4"/>
  <c r="AV439" i="4"/>
  <c r="AV440" i="4"/>
  <c r="AV441" i="4"/>
  <c r="AV442" i="4"/>
  <c r="AV443" i="4"/>
  <c r="AV444" i="4"/>
  <c r="AV445" i="4"/>
  <c r="AV446" i="4"/>
  <c r="AV447" i="4"/>
  <c r="AV448" i="4"/>
  <c r="AV449" i="4"/>
  <c r="AV450" i="4"/>
  <c r="AV451" i="4"/>
  <c r="AV452" i="4"/>
  <c r="AV453" i="4"/>
  <c r="AV454" i="4"/>
  <c r="AV455" i="4"/>
  <c r="AV456" i="4"/>
  <c r="AV457" i="4"/>
  <c r="AV458" i="4"/>
  <c r="AV459" i="4"/>
  <c r="AV460" i="4"/>
  <c r="AV461" i="4"/>
  <c r="AV462" i="4"/>
  <c r="AV463" i="4"/>
  <c r="AV464" i="4"/>
  <c r="AV465" i="4"/>
  <c r="AV466" i="4"/>
  <c r="AV467" i="4"/>
  <c r="AV468" i="4"/>
  <c r="AV469" i="4"/>
  <c r="AV470" i="4"/>
  <c r="AV471" i="4"/>
  <c r="AV472" i="4"/>
  <c r="AV473" i="4"/>
  <c r="AV474" i="4"/>
  <c r="AV475" i="4"/>
  <c r="AV476" i="4"/>
  <c r="AV477" i="4"/>
  <c r="AV478" i="4"/>
  <c r="AV479" i="4"/>
  <c r="AV480" i="4"/>
  <c r="AV481" i="4"/>
  <c r="AV482" i="4"/>
  <c r="AV483" i="4"/>
  <c r="AV484" i="4"/>
  <c r="AV485" i="4"/>
  <c r="AV486" i="4"/>
  <c r="AV487" i="4"/>
  <c r="AV488" i="4"/>
  <c r="AV489" i="4"/>
  <c r="AV490" i="4"/>
  <c r="AV491" i="4"/>
  <c r="AV492" i="4"/>
  <c r="AV493" i="4"/>
  <c r="AV494" i="4"/>
  <c r="AV495" i="4"/>
  <c r="AV496" i="4"/>
  <c r="AV497" i="4"/>
  <c r="AV498" i="4"/>
  <c r="AV499" i="4"/>
  <c r="AV500" i="4"/>
  <c r="AV501" i="4"/>
  <c r="AV502" i="4"/>
  <c r="AV503" i="4"/>
  <c r="AV504" i="4"/>
  <c r="AV505" i="4"/>
  <c r="AV506" i="4"/>
  <c r="AV507" i="4"/>
  <c r="AV508" i="4"/>
  <c r="AV509" i="4"/>
  <c r="AV510" i="4"/>
  <c r="AV511" i="4"/>
  <c r="AV512" i="4"/>
  <c r="AV513" i="4"/>
  <c r="AV514" i="4"/>
  <c r="AV515" i="4"/>
  <c r="AV516" i="4"/>
  <c r="AV517" i="4"/>
  <c r="AV518" i="4"/>
  <c r="AV519" i="4"/>
  <c r="AV520" i="4"/>
  <c r="AV521" i="4"/>
  <c r="AV522" i="4"/>
  <c r="AV523" i="4"/>
  <c r="AV524" i="4"/>
  <c r="AV525" i="4"/>
  <c r="AV526" i="4"/>
  <c r="AV527" i="4"/>
  <c r="AV528" i="4"/>
  <c r="AV529" i="4"/>
  <c r="AV530" i="4"/>
  <c r="AV531" i="4"/>
  <c r="AV532" i="4"/>
  <c r="AV533" i="4"/>
  <c r="AV534" i="4"/>
  <c r="AV535" i="4"/>
  <c r="AV536" i="4"/>
  <c r="AV537" i="4"/>
  <c r="AV538" i="4"/>
  <c r="AV539" i="4"/>
  <c r="AV540" i="4"/>
  <c r="AV541" i="4"/>
  <c r="AV542" i="4"/>
  <c r="AV543" i="4"/>
  <c r="AV544" i="4"/>
  <c r="AV545" i="4"/>
  <c r="AV546" i="4"/>
  <c r="AV547" i="4"/>
  <c r="AV548" i="4"/>
  <c r="AV549" i="4"/>
  <c r="AV550" i="4"/>
  <c r="AV551" i="4"/>
  <c r="AV552" i="4"/>
  <c r="AV553" i="4"/>
  <c r="AV554" i="4"/>
  <c r="AV555" i="4"/>
  <c r="AV556" i="4"/>
  <c r="AV557" i="4"/>
  <c r="AV558" i="4"/>
  <c r="AV559" i="4"/>
  <c r="AV560" i="4"/>
  <c r="AV561" i="4"/>
  <c r="AV562" i="4"/>
  <c r="AV563" i="4"/>
  <c r="AV564" i="4"/>
  <c r="AU434" i="4"/>
  <c r="AU435" i="4"/>
  <c r="AU436" i="4"/>
  <c r="AU437" i="4"/>
  <c r="AU438" i="4"/>
  <c r="AU439" i="4"/>
  <c r="AU440" i="4"/>
  <c r="AU441" i="4"/>
  <c r="AU442" i="4"/>
  <c r="AU443" i="4"/>
  <c r="AU444" i="4"/>
  <c r="AU445" i="4"/>
  <c r="AU446" i="4"/>
  <c r="AU447" i="4"/>
  <c r="AU448" i="4"/>
  <c r="AU449" i="4"/>
  <c r="AU450" i="4"/>
  <c r="AU451" i="4"/>
  <c r="AU452" i="4"/>
  <c r="AU453" i="4"/>
  <c r="AU454" i="4"/>
  <c r="AU455" i="4"/>
  <c r="AU456" i="4"/>
  <c r="AU457" i="4"/>
  <c r="AU458" i="4"/>
  <c r="AU459" i="4"/>
  <c r="AU460" i="4"/>
  <c r="AU461" i="4"/>
  <c r="AU462" i="4"/>
  <c r="AU463" i="4"/>
  <c r="AU464" i="4"/>
  <c r="AU465" i="4"/>
  <c r="AU466" i="4"/>
  <c r="AU467" i="4"/>
  <c r="AU468" i="4"/>
  <c r="AU469" i="4"/>
  <c r="AU470" i="4"/>
  <c r="AU471" i="4"/>
  <c r="AU472" i="4"/>
  <c r="AU473" i="4"/>
  <c r="AU474" i="4"/>
  <c r="AU475" i="4"/>
  <c r="AU476" i="4"/>
  <c r="AU477" i="4"/>
  <c r="AU478" i="4"/>
  <c r="AU479" i="4"/>
  <c r="AU480" i="4"/>
  <c r="AU481" i="4"/>
  <c r="AU482" i="4"/>
  <c r="AU483" i="4"/>
  <c r="AU484" i="4"/>
  <c r="AU485" i="4"/>
  <c r="AU486" i="4"/>
  <c r="AU487" i="4"/>
  <c r="AU488" i="4"/>
  <c r="AU489" i="4"/>
  <c r="AU490" i="4"/>
  <c r="AU491" i="4"/>
  <c r="AU492" i="4"/>
  <c r="AU493" i="4"/>
  <c r="AU494" i="4"/>
  <c r="AU495" i="4"/>
  <c r="AU496" i="4"/>
  <c r="AU497" i="4"/>
  <c r="AU498" i="4"/>
  <c r="AU499" i="4"/>
  <c r="AU500" i="4"/>
  <c r="AU501" i="4"/>
  <c r="AU502" i="4"/>
  <c r="AU503" i="4"/>
  <c r="AU504" i="4"/>
  <c r="AU505" i="4"/>
  <c r="AU506" i="4"/>
  <c r="AU507" i="4"/>
  <c r="AU508" i="4"/>
  <c r="AU509" i="4"/>
  <c r="AU510" i="4"/>
  <c r="AU511" i="4"/>
  <c r="AU512" i="4"/>
  <c r="AU513" i="4"/>
  <c r="AU514" i="4"/>
  <c r="AU515" i="4"/>
  <c r="AU516" i="4"/>
  <c r="AU517" i="4"/>
  <c r="AU518" i="4"/>
  <c r="AU519" i="4"/>
  <c r="AU520" i="4"/>
  <c r="AU521" i="4"/>
  <c r="AU522" i="4"/>
  <c r="AU523" i="4"/>
  <c r="AU524" i="4"/>
  <c r="AU525" i="4"/>
  <c r="AU526" i="4"/>
  <c r="AU527" i="4"/>
  <c r="AU528" i="4"/>
  <c r="AU529" i="4"/>
  <c r="AU530" i="4"/>
  <c r="AU531" i="4"/>
  <c r="AU532" i="4"/>
  <c r="AU533" i="4"/>
  <c r="AU534" i="4"/>
  <c r="AU535" i="4"/>
  <c r="AU536" i="4"/>
  <c r="AU537" i="4"/>
  <c r="AU538" i="4"/>
  <c r="AU539" i="4"/>
  <c r="AU540" i="4"/>
  <c r="AU541" i="4"/>
  <c r="AU542" i="4"/>
  <c r="AU543" i="4"/>
  <c r="AU544" i="4"/>
  <c r="AU545" i="4"/>
  <c r="AU546" i="4"/>
  <c r="AU547" i="4"/>
  <c r="AU548" i="4"/>
  <c r="AU549" i="4"/>
  <c r="AU550" i="4"/>
  <c r="AU551" i="4"/>
  <c r="AU552" i="4"/>
  <c r="AU553" i="4"/>
  <c r="AU554" i="4"/>
  <c r="AU555" i="4"/>
  <c r="AU556" i="4"/>
  <c r="AU557" i="4"/>
  <c r="AU558" i="4"/>
  <c r="AU559" i="4"/>
  <c r="AU560" i="4"/>
  <c r="AU561" i="4"/>
  <c r="AU562" i="4"/>
  <c r="AU563" i="4"/>
  <c r="AU564" i="4"/>
  <c r="AT434" i="4"/>
  <c r="AT435" i="4"/>
  <c r="AT436" i="4"/>
  <c r="AT437" i="4"/>
  <c r="AT438" i="4"/>
  <c r="AT439" i="4"/>
  <c r="AT440" i="4"/>
  <c r="AT441" i="4"/>
  <c r="AT442" i="4"/>
  <c r="AT443" i="4"/>
  <c r="AT444" i="4"/>
  <c r="AT445" i="4"/>
  <c r="AT446" i="4"/>
  <c r="AT447" i="4"/>
  <c r="AT448" i="4"/>
  <c r="AT449" i="4"/>
  <c r="AT450" i="4"/>
  <c r="AT451" i="4"/>
  <c r="AT452" i="4"/>
  <c r="AT453" i="4"/>
  <c r="AT454" i="4"/>
  <c r="AT455" i="4"/>
  <c r="AT456" i="4"/>
  <c r="AT457" i="4"/>
  <c r="AT458" i="4"/>
  <c r="AT459" i="4"/>
  <c r="AT460" i="4"/>
  <c r="AT461" i="4"/>
  <c r="AT462" i="4"/>
  <c r="AT463" i="4"/>
  <c r="AT464" i="4"/>
  <c r="AT465" i="4"/>
  <c r="AT466" i="4"/>
  <c r="AT467" i="4"/>
  <c r="AT468" i="4"/>
  <c r="AT469" i="4"/>
  <c r="AT470" i="4"/>
  <c r="AT471" i="4"/>
  <c r="AT472" i="4"/>
  <c r="AT473" i="4"/>
  <c r="AT474" i="4"/>
  <c r="AT475" i="4"/>
  <c r="AT476" i="4"/>
  <c r="AT477" i="4"/>
  <c r="AT478" i="4"/>
  <c r="AT479" i="4"/>
  <c r="AT480" i="4"/>
  <c r="AT481" i="4"/>
  <c r="AT482" i="4"/>
  <c r="AT483" i="4"/>
  <c r="AT484" i="4"/>
  <c r="AT485" i="4"/>
  <c r="AT486" i="4"/>
  <c r="AT487" i="4"/>
  <c r="AT488" i="4"/>
  <c r="AT489" i="4"/>
  <c r="AT490" i="4"/>
  <c r="AT491" i="4"/>
  <c r="AT492" i="4"/>
  <c r="AT493" i="4"/>
  <c r="AT494" i="4"/>
  <c r="AT495" i="4"/>
  <c r="AT496" i="4"/>
  <c r="AT497" i="4"/>
  <c r="AT498" i="4"/>
  <c r="AT499" i="4"/>
  <c r="AT500" i="4"/>
  <c r="AT501" i="4"/>
  <c r="AT502" i="4"/>
  <c r="AT503" i="4"/>
  <c r="AT504" i="4"/>
  <c r="AT505" i="4"/>
  <c r="AT506" i="4"/>
  <c r="AT507" i="4"/>
  <c r="AT508" i="4"/>
  <c r="AT509" i="4"/>
  <c r="AT510" i="4"/>
  <c r="AT511" i="4"/>
  <c r="AT512" i="4"/>
  <c r="AT513" i="4"/>
  <c r="AT514" i="4"/>
  <c r="AT515" i="4"/>
  <c r="AT516" i="4"/>
  <c r="AT517" i="4"/>
  <c r="AT518" i="4"/>
  <c r="AT519" i="4"/>
  <c r="AT520" i="4"/>
  <c r="AT521" i="4"/>
  <c r="AT522" i="4"/>
  <c r="AT523" i="4"/>
  <c r="AT524" i="4"/>
  <c r="AT525" i="4"/>
  <c r="AT526" i="4"/>
  <c r="AT527" i="4"/>
  <c r="AT528" i="4"/>
  <c r="AT529" i="4"/>
  <c r="AT530" i="4"/>
  <c r="AT531" i="4"/>
  <c r="AT532" i="4"/>
  <c r="AT533" i="4"/>
  <c r="AT534" i="4"/>
  <c r="AT535" i="4"/>
  <c r="AT536" i="4"/>
  <c r="AT537" i="4"/>
  <c r="AT538" i="4"/>
  <c r="AT539" i="4"/>
  <c r="AT540" i="4"/>
  <c r="AT541" i="4"/>
  <c r="AT542" i="4"/>
  <c r="AT543" i="4"/>
  <c r="AT544" i="4"/>
  <c r="AT545" i="4"/>
  <c r="AT546" i="4"/>
  <c r="AT547" i="4"/>
  <c r="AT548" i="4"/>
  <c r="AT549" i="4"/>
  <c r="AT550" i="4"/>
  <c r="AT551" i="4"/>
  <c r="AT552" i="4"/>
  <c r="AT553" i="4"/>
  <c r="AT554" i="4"/>
  <c r="AT555" i="4"/>
  <c r="AT556" i="4"/>
  <c r="AT557" i="4"/>
  <c r="AT558" i="4"/>
  <c r="AT559" i="4"/>
  <c r="AT560" i="4"/>
  <c r="AT561" i="4"/>
  <c r="AT562" i="4"/>
  <c r="AT563" i="4"/>
  <c r="AT564" i="4"/>
  <c r="AS434" i="4"/>
  <c r="AS435" i="4"/>
  <c r="AS436" i="4"/>
  <c r="AS437" i="4"/>
  <c r="AS438" i="4"/>
  <c r="AS439" i="4"/>
  <c r="AS440" i="4"/>
  <c r="AS441" i="4"/>
  <c r="AS442" i="4"/>
  <c r="AS443" i="4"/>
  <c r="AS444" i="4"/>
  <c r="AS445" i="4"/>
  <c r="AS446" i="4"/>
  <c r="AS447" i="4"/>
  <c r="AS448" i="4"/>
  <c r="AS449" i="4"/>
  <c r="AS450" i="4"/>
  <c r="AS451" i="4"/>
  <c r="AS452" i="4"/>
  <c r="AS453" i="4"/>
  <c r="AS454" i="4"/>
  <c r="AS455" i="4"/>
  <c r="AS456" i="4"/>
  <c r="AS457" i="4"/>
  <c r="AS458" i="4"/>
  <c r="AS459" i="4"/>
  <c r="AS460" i="4"/>
  <c r="AS461" i="4"/>
  <c r="AS462" i="4"/>
  <c r="AS463" i="4"/>
  <c r="AS464" i="4"/>
  <c r="AS465" i="4"/>
  <c r="AS466" i="4"/>
  <c r="AS467" i="4"/>
  <c r="AS468" i="4"/>
  <c r="AS469" i="4"/>
  <c r="AS470" i="4"/>
  <c r="AS471" i="4"/>
  <c r="AS472" i="4"/>
  <c r="AS473" i="4"/>
  <c r="AS474" i="4"/>
  <c r="AS475" i="4"/>
  <c r="AS476" i="4"/>
  <c r="AS477" i="4"/>
  <c r="AS478" i="4"/>
  <c r="AS479" i="4"/>
  <c r="AS480" i="4"/>
  <c r="AS481" i="4"/>
  <c r="AS482" i="4"/>
  <c r="AS483" i="4"/>
  <c r="AS484" i="4"/>
  <c r="AS485" i="4"/>
  <c r="AS486" i="4"/>
  <c r="AS487" i="4"/>
  <c r="AS488" i="4"/>
  <c r="AS489" i="4"/>
  <c r="AS490" i="4"/>
  <c r="AS491" i="4"/>
  <c r="AS492" i="4"/>
  <c r="AS493" i="4"/>
  <c r="AS494" i="4"/>
  <c r="AS495" i="4"/>
  <c r="AS496" i="4"/>
  <c r="AS497" i="4"/>
  <c r="AS498" i="4"/>
  <c r="AS499" i="4"/>
  <c r="AS500" i="4"/>
  <c r="AS501" i="4"/>
  <c r="AS502" i="4"/>
  <c r="AS503" i="4"/>
  <c r="AS504" i="4"/>
  <c r="AS505" i="4"/>
  <c r="AS506" i="4"/>
  <c r="AS507" i="4"/>
  <c r="AS508" i="4"/>
  <c r="AS509" i="4"/>
  <c r="AS510" i="4"/>
  <c r="AS511" i="4"/>
  <c r="AS512" i="4"/>
  <c r="AS513" i="4"/>
  <c r="AS514" i="4"/>
  <c r="AS515" i="4"/>
  <c r="AS516" i="4"/>
  <c r="AS517" i="4"/>
  <c r="AS518" i="4"/>
  <c r="AS519" i="4"/>
  <c r="AS520" i="4"/>
  <c r="AS521" i="4"/>
  <c r="AS522" i="4"/>
  <c r="AS523" i="4"/>
  <c r="AS524" i="4"/>
  <c r="AS525" i="4"/>
  <c r="AS526" i="4"/>
  <c r="AS527" i="4"/>
  <c r="AS528" i="4"/>
  <c r="AS529" i="4"/>
  <c r="AS530" i="4"/>
  <c r="AS531" i="4"/>
  <c r="AS532" i="4"/>
  <c r="AS533" i="4"/>
  <c r="AS534" i="4"/>
  <c r="AS535" i="4"/>
  <c r="AS536" i="4"/>
  <c r="AS537" i="4"/>
  <c r="AS538" i="4"/>
  <c r="AS539" i="4"/>
  <c r="AS540" i="4"/>
  <c r="AS541" i="4"/>
  <c r="AS542" i="4"/>
  <c r="AS543" i="4"/>
  <c r="AS544" i="4"/>
  <c r="AS545" i="4"/>
  <c r="AS546" i="4"/>
  <c r="AS547" i="4"/>
  <c r="AS548" i="4"/>
  <c r="AS549" i="4"/>
  <c r="AS550" i="4"/>
  <c r="AS551" i="4"/>
  <c r="AS552" i="4"/>
  <c r="AS553" i="4"/>
  <c r="AS554" i="4"/>
  <c r="AS555" i="4"/>
  <c r="AS556" i="4"/>
  <c r="AS557" i="4"/>
  <c r="AS558" i="4"/>
  <c r="AS559" i="4"/>
  <c r="AS560" i="4"/>
  <c r="AS561" i="4"/>
  <c r="AS562" i="4"/>
  <c r="AS563" i="4"/>
  <c r="AS564" i="4"/>
  <c r="AR433" i="4"/>
  <c r="AR434" i="4"/>
  <c r="AR435" i="4"/>
  <c r="AR436" i="4"/>
  <c r="AR437" i="4"/>
  <c r="AR438" i="4"/>
  <c r="AR439" i="4"/>
  <c r="AR440" i="4"/>
  <c r="AR441" i="4"/>
  <c r="AR442" i="4"/>
  <c r="AR443" i="4"/>
  <c r="AR444" i="4"/>
  <c r="AR445" i="4"/>
  <c r="AR446" i="4"/>
  <c r="AR447" i="4"/>
  <c r="AR448" i="4"/>
  <c r="AR449" i="4"/>
  <c r="AR450" i="4"/>
  <c r="AR451" i="4"/>
  <c r="AR452" i="4"/>
  <c r="AR453" i="4"/>
  <c r="AR454" i="4"/>
  <c r="AR455" i="4"/>
  <c r="AR456" i="4"/>
  <c r="AR457" i="4"/>
  <c r="AR458" i="4"/>
  <c r="AR459" i="4"/>
  <c r="AR460" i="4"/>
  <c r="AR461" i="4"/>
  <c r="AR462" i="4"/>
  <c r="AR463" i="4"/>
  <c r="AR464" i="4"/>
  <c r="AR465" i="4"/>
  <c r="AR466" i="4"/>
  <c r="AR467" i="4"/>
  <c r="AR468" i="4"/>
  <c r="AR469" i="4"/>
  <c r="AR470" i="4"/>
  <c r="AR471" i="4"/>
  <c r="AR472" i="4"/>
  <c r="AR473" i="4"/>
  <c r="AR474" i="4"/>
  <c r="AR475" i="4"/>
  <c r="AR476" i="4"/>
  <c r="AR477" i="4"/>
  <c r="AR478" i="4"/>
  <c r="AR479" i="4"/>
  <c r="AR480" i="4"/>
  <c r="AR481" i="4"/>
  <c r="AR482" i="4"/>
  <c r="AR483" i="4"/>
  <c r="AR484" i="4"/>
  <c r="AR485" i="4"/>
  <c r="AR486" i="4"/>
  <c r="AR487" i="4"/>
  <c r="AR488" i="4"/>
  <c r="AR489" i="4"/>
  <c r="AR490" i="4"/>
  <c r="AR491" i="4"/>
  <c r="AR492" i="4"/>
  <c r="AR493" i="4"/>
  <c r="AR494" i="4"/>
  <c r="AR495" i="4"/>
  <c r="AR496" i="4"/>
  <c r="AR497" i="4"/>
  <c r="AR498" i="4"/>
  <c r="AR499" i="4"/>
  <c r="AR500" i="4"/>
  <c r="AR501" i="4"/>
  <c r="AR502" i="4"/>
  <c r="AR503" i="4"/>
  <c r="AR504" i="4"/>
  <c r="AR505" i="4"/>
  <c r="AR506" i="4"/>
  <c r="AR507" i="4"/>
  <c r="AR508" i="4"/>
  <c r="AR509" i="4"/>
  <c r="AR510" i="4"/>
  <c r="AR511" i="4"/>
  <c r="AR512" i="4"/>
  <c r="AR513" i="4"/>
  <c r="AR514" i="4"/>
  <c r="AR515" i="4"/>
  <c r="AR516" i="4"/>
  <c r="AR517" i="4"/>
  <c r="AR518" i="4"/>
  <c r="AR519" i="4"/>
  <c r="AR520" i="4"/>
  <c r="AR521" i="4"/>
  <c r="AR522" i="4"/>
  <c r="AR523" i="4"/>
  <c r="AR524" i="4"/>
  <c r="AR525" i="4"/>
  <c r="AR526" i="4"/>
  <c r="AR527" i="4"/>
  <c r="AR528" i="4"/>
  <c r="AR529" i="4"/>
  <c r="AR530" i="4"/>
  <c r="AR531" i="4"/>
  <c r="AR532" i="4"/>
  <c r="AR533" i="4"/>
  <c r="AR534" i="4"/>
  <c r="AR535" i="4"/>
  <c r="AR536" i="4"/>
  <c r="AR537" i="4"/>
  <c r="AR538" i="4"/>
  <c r="AR539" i="4"/>
  <c r="AR540" i="4"/>
  <c r="AR541" i="4"/>
  <c r="AR542" i="4"/>
  <c r="AR543" i="4"/>
  <c r="AR544" i="4"/>
  <c r="AR545" i="4"/>
  <c r="AR546" i="4"/>
  <c r="AR547" i="4"/>
  <c r="AR548" i="4"/>
  <c r="AR549" i="4"/>
  <c r="AR550" i="4"/>
  <c r="AR551" i="4"/>
  <c r="AR552" i="4"/>
  <c r="AR553" i="4"/>
  <c r="AR554" i="4"/>
  <c r="AR555" i="4"/>
  <c r="AR556" i="4"/>
  <c r="AR557" i="4"/>
  <c r="AR558" i="4"/>
  <c r="AR559" i="4"/>
  <c r="AR560" i="4"/>
  <c r="AR561" i="4"/>
  <c r="AR562" i="4"/>
  <c r="AR563" i="4"/>
  <c r="AR564" i="4"/>
  <c r="AY433" i="4"/>
  <c r="AY432" i="4" s="1"/>
  <c r="P78" i="1" s="1"/>
  <c r="AX433" i="4"/>
  <c r="AX432" i="4" s="1"/>
  <c r="O78" i="1" s="1"/>
  <c r="AW433" i="4"/>
  <c r="AV433" i="4"/>
  <c r="AU433" i="4"/>
  <c r="AT433" i="4"/>
  <c r="AS433" i="4"/>
  <c r="AY293" i="4"/>
  <c r="AY294" i="4"/>
  <c r="AY295" i="4"/>
  <c r="AY296" i="4"/>
  <c r="AY297" i="4"/>
  <c r="AY298" i="4"/>
  <c r="AY299" i="4"/>
  <c r="AY300" i="4"/>
  <c r="AY301" i="4"/>
  <c r="AY302" i="4"/>
  <c r="AY303" i="4"/>
  <c r="AY304" i="4"/>
  <c r="AY305" i="4"/>
  <c r="AY306" i="4"/>
  <c r="AY307" i="4"/>
  <c r="AY308" i="4"/>
  <c r="AY309" i="4"/>
  <c r="AY310" i="4"/>
  <c r="AY311" i="4"/>
  <c r="AY312" i="4"/>
  <c r="AY313" i="4"/>
  <c r="AY314" i="4"/>
  <c r="AY315" i="4"/>
  <c r="AY316" i="4"/>
  <c r="AY317" i="4"/>
  <c r="AY318" i="4"/>
  <c r="AY319" i="4"/>
  <c r="AY320" i="4"/>
  <c r="AY321" i="4"/>
  <c r="AY322" i="4"/>
  <c r="AY323" i="4"/>
  <c r="AY324" i="4"/>
  <c r="AY325" i="4"/>
  <c r="AY326" i="4"/>
  <c r="AY327" i="4"/>
  <c r="AY328" i="4"/>
  <c r="AY329" i="4"/>
  <c r="AY330" i="4"/>
  <c r="AY331" i="4"/>
  <c r="AY332" i="4"/>
  <c r="AY333" i="4"/>
  <c r="AY334" i="4"/>
  <c r="AY335" i="4"/>
  <c r="AY336" i="4"/>
  <c r="AY337" i="4"/>
  <c r="AY338" i="4"/>
  <c r="AY339" i="4"/>
  <c r="AY340" i="4"/>
  <c r="AY341" i="4"/>
  <c r="AY342" i="4"/>
  <c r="AY343" i="4"/>
  <c r="AY344" i="4"/>
  <c r="AY345" i="4"/>
  <c r="AY346" i="4"/>
  <c r="AY347" i="4"/>
  <c r="AY348" i="4"/>
  <c r="AY349" i="4"/>
  <c r="AY350" i="4"/>
  <c r="AY351" i="4"/>
  <c r="AY352" i="4"/>
  <c r="AY353" i="4"/>
  <c r="AY354" i="4"/>
  <c r="AY355" i="4"/>
  <c r="AY356" i="4"/>
  <c r="AY357" i="4"/>
  <c r="AY358" i="4"/>
  <c r="AY359" i="4"/>
  <c r="AY360" i="4"/>
  <c r="AY361" i="4"/>
  <c r="AY362" i="4"/>
  <c r="AY363" i="4"/>
  <c r="AY364" i="4"/>
  <c r="AY365" i="4"/>
  <c r="AY366" i="4"/>
  <c r="AY367" i="4"/>
  <c r="AY368" i="4"/>
  <c r="AY369" i="4"/>
  <c r="AY370" i="4"/>
  <c r="AY371" i="4"/>
  <c r="AY372" i="4"/>
  <c r="AY373" i="4"/>
  <c r="AY374" i="4"/>
  <c r="AY375" i="4"/>
  <c r="AY376" i="4"/>
  <c r="AY377" i="4"/>
  <c r="AY378" i="4"/>
  <c r="AY379" i="4"/>
  <c r="AY380" i="4"/>
  <c r="AY381" i="4"/>
  <c r="AY382" i="4"/>
  <c r="AY383" i="4"/>
  <c r="AY384" i="4"/>
  <c r="AY385" i="4"/>
  <c r="AY386" i="4"/>
  <c r="AY387" i="4"/>
  <c r="AY388" i="4"/>
  <c r="AY389" i="4"/>
  <c r="AY390" i="4"/>
  <c r="AY391" i="4"/>
  <c r="AY392" i="4"/>
  <c r="AY393" i="4"/>
  <c r="AY394" i="4"/>
  <c r="AY395" i="4"/>
  <c r="AY396" i="4"/>
  <c r="AY397" i="4"/>
  <c r="AY398" i="4"/>
  <c r="AY399" i="4"/>
  <c r="AY400" i="4"/>
  <c r="AY401" i="4"/>
  <c r="AY402" i="4"/>
  <c r="AY403" i="4"/>
  <c r="AY404" i="4"/>
  <c r="AY405" i="4"/>
  <c r="AY406" i="4"/>
  <c r="AY407" i="4"/>
  <c r="AY408" i="4"/>
  <c r="AY409" i="4"/>
  <c r="AY410" i="4"/>
  <c r="AY411" i="4"/>
  <c r="AY412" i="4"/>
  <c r="AY413" i="4"/>
  <c r="AY414" i="4"/>
  <c r="AY415" i="4"/>
  <c r="AY416" i="4"/>
  <c r="AY417" i="4"/>
  <c r="AY418" i="4"/>
  <c r="AY419" i="4"/>
  <c r="AY420" i="4"/>
  <c r="AY421" i="4"/>
  <c r="AY422" i="4"/>
  <c r="AY423" i="4"/>
  <c r="AX293" i="4"/>
  <c r="AX294" i="4"/>
  <c r="AX295" i="4"/>
  <c r="AX296" i="4"/>
  <c r="AX297" i="4"/>
  <c r="AX298" i="4"/>
  <c r="AX299" i="4"/>
  <c r="AX300" i="4"/>
  <c r="AX301" i="4"/>
  <c r="AX302" i="4"/>
  <c r="AX303" i="4"/>
  <c r="AX304" i="4"/>
  <c r="AX305" i="4"/>
  <c r="AX306" i="4"/>
  <c r="AX307" i="4"/>
  <c r="AX308" i="4"/>
  <c r="AX309" i="4"/>
  <c r="AX310" i="4"/>
  <c r="AX311" i="4"/>
  <c r="AX312" i="4"/>
  <c r="AX313" i="4"/>
  <c r="AX314" i="4"/>
  <c r="AX315" i="4"/>
  <c r="AX316" i="4"/>
  <c r="AX317" i="4"/>
  <c r="AX318" i="4"/>
  <c r="AX319" i="4"/>
  <c r="AX320" i="4"/>
  <c r="AX321" i="4"/>
  <c r="AX322" i="4"/>
  <c r="AX323" i="4"/>
  <c r="AX324" i="4"/>
  <c r="AX325" i="4"/>
  <c r="AX326" i="4"/>
  <c r="AX327" i="4"/>
  <c r="AX328" i="4"/>
  <c r="AX329" i="4"/>
  <c r="AX330" i="4"/>
  <c r="AX331" i="4"/>
  <c r="AX332" i="4"/>
  <c r="AX333" i="4"/>
  <c r="AX334" i="4"/>
  <c r="AX335" i="4"/>
  <c r="AX336" i="4"/>
  <c r="AX337" i="4"/>
  <c r="AX338" i="4"/>
  <c r="AX339" i="4"/>
  <c r="AX340" i="4"/>
  <c r="AX341" i="4"/>
  <c r="AX342" i="4"/>
  <c r="AX343" i="4"/>
  <c r="AX344" i="4"/>
  <c r="AX345" i="4"/>
  <c r="AX346" i="4"/>
  <c r="AX347" i="4"/>
  <c r="AX348" i="4"/>
  <c r="AX349" i="4"/>
  <c r="AX350" i="4"/>
  <c r="AX351" i="4"/>
  <c r="AX352" i="4"/>
  <c r="AX353" i="4"/>
  <c r="AX354" i="4"/>
  <c r="AX355" i="4"/>
  <c r="AX356" i="4"/>
  <c r="AX357" i="4"/>
  <c r="AX358" i="4"/>
  <c r="AX359" i="4"/>
  <c r="AX360" i="4"/>
  <c r="AX361" i="4"/>
  <c r="AX362" i="4"/>
  <c r="AX363" i="4"/>
  <c r="AX364" i="4"/>
  <c r="AX365" i="4"/>
  <c r="AX366" i="4"/>
  <c r="AX367" i="4"/>
  <c r="AX368" i="4"/>
  <c r="AX369" i="4"/>
  <c r="AX370" i="4"/>
  <c r="AX371" i="4"/>
  <c r="AX372" i="4"/>
  <c r="AX373" i="4"/>
  <c r="AX374" i="4"/>
  <c r="AX375" i="4"/>
  <c r="AX376" i="4"/>
  <c r="AX377" i="4"/>
  <c r="AX378" i="4"/>
  <c r="AX379" i="4"/>
  <c r="AX380" i="4"/>
  <c r="AX381" i="4"/>
  <c r="AX382" i="4"/>
  <c r="AX383" i="4"/>
  <c r="AX384" i="4"/>
  <c r="AX385" i="4"/>
  <c r="AX386" i="4"/>
  <c r="AX387" i="4"/>
  <c r="AX388" i="4"/>
  <c r="AX389" i="4"/>
  <c r="AX390" i="4"/>
  <c r="AX391" i="4"/>
  <c r="AX392" i="4"/>
  <c r="AX393" i="4"/>
  <c r="AX394" i="4"/>
  <c r="AX395" i="4"/>
  <c r="AX396" i="4"/>
  <c r="AX397" i="4"/>
  <c r="AX398" i="4"/>
  <c r="AX399" i="4"/>
  <c r="AX400" i="4"/>
  <c r="AX401" i="4"/>
  <c r="AX402" i="4"/>
  <c r="AX403" i="4"/>
  <c r="AX404" i="4"/>
  <c r="AX405" i="4"/>
  <c r="AX406" i="4"/>
  <c r="AX407" i="4"/>
  <c r="AX408" i="4"/>
  <c r="AX409" i="4"/>
  <c r="AX410" i="4"/>
  <c r="AX411" i="4"/>
  <c r="AX412" i="4"/>
  <c r="AX413" i="4"/>
  <c r="AX414" i="4"/>
  <c r="AX415" i="4"/>
  <c r="AX416" i="4"/>
  <c r="AX417" i="4"/>
  <c r="AX418" i="4"/>
  <c r="AX419" i="4"/>
  <c r="AX420" i="4"/>
  <c r="AX421" i="4"/>
  <c r="AX422" i="4"/>
  <c r="AX423" i="4"/>
  <c r="AW293" i="4"/>
  <c r="AW294" i="4"/>
  <c r="AW295" i="4"/>
  <c r="AW296" i="4"/>
  <c r="AW297" i="4"/>
  <c r="AW298" i="4"/>
  <c r="AW299" i="4"/>
  <c r="AW300" i="4"/>
  <c r="AW301" i="4"/>
  <c r="AW302" i="4"/>
  <c r="AW303" i="4"/>
  <c r="AW304" i="4"/>
  <c r="AW305" i="4"/>
  <c r="AW306" i="4"/>
  <c r="AW307" i="4"/>
  <c r="AW308" i="4"/>
  <c r="AW309" i="4"/>
  <c r="AW310" i="4"/>
  <c r="AW311" i="4"/>
  <c r="AW312" i="4"/>
  <c r="AW313" i="4"/>
  <c r="AW314" i="4"/>
  <c r="AW315" i="4"/>
  <c r="AW316" i="4"/>
  <c r="AW317" i="4"/>
  <c r="AW318" i="4"/>
  <c r="AW319" i="4"/>
  <c r="AW320" i="4"/>
  <c r="AW321" i="4"/>
  <c r="AW322" i="4"/>
  <c r="AW323" i="4"/>
  <c r="AW324" i="4"/>
  <c r="AW325" i="4"/>
  <c r="AW326" i="4"/>
  <c r="AW327" i="4"/>
  <c r="AW328" i="4"/>
  <c r="AW329" i="4"/>
  <c r="AW330" i="4"/>
  <c r="AW331" i="4"/>
  <c r="AW332" i="4"/>
  <c r="AW333" i="4"/>
  <c r="AW334" i="4"/>
  <c r="AW335" i="4"/>
  <c r="AW336" i="4"/>
  <c r="AW337" i="4"/>
  <c r="AW338" i="4"/>
  <c r="AW339" i="4"/>
  <c r="AW340" i="4"/>
  <c r="AW341" i="4"/>
  <c r="AW342" i="4"/>
  <c r="AW343" i="4"/>
  <c r="AW344" i="4"/>
  <c r="AW345" i="4"/>
  <c r="AW346" i="4"/>
  <c r="AW347" i="4"/>
  <c r="AW348" i="4"/>
  <c r="AW349" i="4"/>
  <c r="AW350" i="4"/>
  <c r="AW351" i="4"/>
  <c r="AW352" i="4"/>
  <c r="AW353" i="4"/>
  <c r="AW354" i="4"/>
  <c r="AW355" i="4"/>
  <c r="AW356" i="4"/>
  <c r="AW357" i="4"/>
  <c r="AW358" i="4"/>
  <c r="AW359" i="4"/>
  <c r="AW360" i="4"/>
  <c r="AW361" i="4"/>
  <c r="AW362" i="4"/>
  <c r="AW363" i="4"/>
  <c r="AW364" i="4"/>
  <c r="AW365" i="4"/>
  <c r="AW366" i="4"/>
  <c r="AW367" i="4"/>
  <c r="AW368" i="4"/>
  <c r="AW369" i="4"/>
  <c r="AW370" i="4"/>
  <c r="AW371" i="4"/>
  <c r="AW372" i="4"/>
  <c r="AW373" i="4"/>
  <c r="AW374" i="4"/>
  <c r="AW375" i="4"/>
  <c r="AW376" i="4"/>
  <c r="AW377" i="4"/>
  <c r="AW378" i="4"/>
  <c r="AW379" i="4"/>
  <c r="AW380" i="4"/>
  <c r="AW381" i="4"/>
  <c r="AW382" i="4"/>
  <c r="AW383" i="4"/>
  <c r="AW384" i="4"/>
  <c r="AW385" i="4"/>
  <c r="AW386" i="4"/>
  <c r="AW387" i="4"/>
  <c r="AW388" i="4"/>
  <c r="AW389" i="4"/>
  <c r="AW390" i="4"/>
  <c r="AW391" i="4"/>
  <c r="AW392" i="4"/>
  <c r="AW393" i="4"/>
  <c r="AW394" i="4"/>
  <c r="AW395" i="4"/>
  <c r="AW396" i="4"/>
  <c r="AW397" i="4"/>
  <c r="AW398" i="4"/>
  <c r="AW399" i="4"/>
  <c r="AW400" i="4"/>
  <c r="AW401" i="4"/>
  <c r="AW402" i="4"/>
  <c r="AW403" i="4"/>
  <c r="AW404" i="4"/>
  <c r="AW405" i="4"/>
  <c r="AW406" i="4"/>
  <c r="AW407" i="4"/>
  <c r="AW408" i="4"/>
  <c r="AW409" i="4"/>
  <c r="AW410" i="4"/>
  <c r="AW411" i="4"/>
  <c r="AW412" i="4"/>
  <c r="AW413" i="4"/>
  <c r="AW414" i="4"/>
  <c r="AW415" i="4"/>
  <c r="AW416" i="4"/>
  <c r="AW417" i="4"/>
  <c r="AW418" i="4"/>
  <c r="AW419" i="4"/>
  <c r="AW420" i="4"/>
  <c r="AW421" i="4"/>
  <c r="AW422" i="4"/>
  <c r="AW423" i="4"/>
  <c r="AV293" i="4"/>
  <c r="AV294" i="4"/>
  <c r="AV295" i="4"/>
  <c r="AV296" i="4"/>
  <c r="AV297" i="4"/>
  <c r="AV298" i="4"/>
  <c r="AV299" i="4"/>
  <c r="AV300" i="4"/>
  <c r="AV301" i="4"/>
  <c r="AV302" i="4"/>
  <c r="AV303" i="4"/>
  <c r="AV304" i="4"/>
  <c r="AV305" i="4"/>
  <c r="AV306" i="4"/>
  <c r="AV307" i="4"/>
  <c r="AV308" i="4"/>
  <c r="AV309" i="4"/>
  <c r="AV310" i="4"/>
  <c r="AV311" i="4"/>
  <c r="AV312" i="4"/>
  <c r="AV313" i="4"/>
  <c r="AV314" i="4"/>
  <c r="AV315" i="4"/>
  <c r="AV316" i="4"/>
  <c r="AV317" i="4"/>
  <c r="AV318" i="4"/>
  <c r="AV319" i="4"/>
  <c r="AV320" i="4"/>
  <c r="AV321" i="4"/>
  <c r="AV322" i="4"/>
  <c r="AV323" i="4"/>
  <c r="AV324" i="4"/>
  <c r="AV325" i="4"/>
  <c r="AV326" i="4"/>
  <c r="AV327" i="4"/>
  <c r="AV328" i="4"/>
  <c r="AV329" i="4"/>
  <c r="AV330" i="4"/>
  <c r="AV331" i="4"/>
  <c r="AV332" i="4"/>
  <c r="AV333" i="4"/>
  <c r="AV334" i="4"/>
  <c r="AV335" i="4"/>
  <c r="AV336" i="4"/>
  <c r="AV337" i="4"/>
  <c r="AV338" i="4"/>
  <c r="AV339" i="4"/>
  <c r="AV340" i="4"/>
  <c r="AV341" i="4"/>
  <c r="AV342" i="4"/>
  <c r="AV343" i="4"/>
  <c r="AV344" i="4"/>
  <c r="AV345" i="4"/>
  <c r="AV346" i="4"/>
  <c r="AV347" i="4"/>
  <c r="AV348" i="4"/>
  <c r="AV349" i="4"/>
  <c r="AV350" i="4"/>
  <c r="AV351" i="4"/>
  <c r="AV352" i="4"/>
  <c r="AV353" i="4"/>
  <c r="AV354" i="4"/>
  <c r="AV355" i="4"/>
  <c r="AV356" i="4"/>
  <c r="AV357" i="4"/>
  <c r="AV358" i="4"/>
  <c r="AV359" i="4"/>
  <c r="AV360" i="4"/>
  <c r="AV361" i="4"/>
  <c r="AV362" i="4"/>
  <c r="AV363" i="4"/>
  <c r="AV364" i="4"/>
  <c r="AV365" i="4"/>
  <c r="AV366" i="4"/>
  <c r="AV367" i="4"/>
  <c r="AV368" i="4"/>
  <c r="AV369" i="4"/>
  <c r="AV370" i="4"/>
  <c r="AV371" i="4"/>
  <c r="AV372" i="4"/>
  <c r="AV373" i="4"/>
  <c r="AV374" i="4"/>
  <c r="AV375" i="4"/>
  <c r="AV376" i="4"/>
  <c r="AV377" i="4"/>
  <c r="AV378" i="4"/>
  <c r="AV379" i="4"/>
  <c r="AV380" i="4"/>
  <c r="AV381" i="4"/>
  <c r="AV382" i="4"/>
  <c r="AV383" i="4"/>
  <c r="AV384" i="4"/>
  <c r="AV385" i="4"/>
  <c r="AV386" i="4"/>
  <c r="AV387" i="4"/>
  <c r="AV388" i="4"/>
  <c r="AV389" i="4"/>
  <c r="AV390" i="4"/>
  <c r="AV391" i="4"/>
  <c r="AV392" i="4"/>
  <c r="AV393" i="4"/>
  <c r="AV394" i="4"/>
  <c r="AV395" i="4"/>
  <c r="AV396" i="4"/>
  <c r="AV397" i="4"/>
  <c r="AV398" i="4"/>
  <c r="AV399" i="4"/>
  <c r="AV400" i="4"/>
  <c r="AV401" i="4"/>
  <c r="AV402" i="4"/>
  <c r="AV403" i="4"/>
  <c r="AV404" i="4"/>
  <c r="AV405" i="4"/>
  <c r="AV406" i="4"/>
  <c r="AV407" i="4"/>
  <c r="AV408" i="4"/>
  <c r="AV409" i="4"/>
  <c r="AV410" i="4"/>
  <c r="AV411" i="4"/>
  <c r="AV412" i="4"/>
  <c r="AV413" i="4"/>
  <c r="AV414" i="4"/>
  <c r="AV415" i="4"/>
  <c r="AV416" i="4"/>
  <c r="AV417" i="4"/>
  <c r="AV418" i="4"/>
  <c r="AV419" i="4"/>
  <c r="AV420" i="4"/>
  <c r="AV421" i="4"/>
  <c r="AV422" i="4"/>
  <c r="AV423" i="4"/>
  <c r="AU293" i="4"/>
  <c r="AU294" i="4"/>
  <c r="AU295" i="4"/>
  <c r="AU296" i="4"/>
  <c r="AU297" i="4"/>
  <c r="AU298" i="4"/>
  <c r="AU299" i="4"/>
  <c r="AU300" i="4"/>
  <c r="AU301" i="4"/>
  <c r="AU302" i="4"/>
  <c r="AU303" i="4"/>
  <c r="AU304" i="4"/>
  <c r="AU305" i="4"/>
  <c r="AU306" i="4"/>
  <c r="AU307" i="4"/>
  <c r="AU308" i="4"/>
  <c r="AU309" i="4"/>
  <c r="AU310" i="4"/>
  <c r="AU311" i="4"/>
  <c r="AU312" i="4"/>
  <c r="AU313" i="4"/>
  <c r="AU314" i="4"/>
  <c r="AU315" i="4"/>
  <c r="AU316" i="4"/>
  <c r="AU317" i="4"/>
  <c r="AU318" i="4"/>
  <c r="AU319" i="4"/>
  <c r="AU320" i="4"/>
  <c r="AU321" i="4"/>
  <c r="AU322" i="4"/>
  <c r="AU323" i="4"/>
  <c r="AU324" i="4"/>
  <c r="AU325" i="4"/>
  <c r="AU326" i="4"/>
  <c r="AU327" i="4"/>
  <c r="AU328" i="4"/>
  <c r="AU329" i="4"/>
  <c r="AU330" i="4"/>
  <c r="AU331" i="4"/>
  <c r="AU332" i="4"/>
  <c r="AU333" i="4"/>
  <c r="AU334" i="4"/>
  <c r="AU335" i="4"/>
  <c r="AU336" i="4"/>
  <c r="AU337" i="4"/>
  <c r="AU338" i="4"/>
  <c r="AU339" i="4"/>
  <c r="AU340" i="4"/>
  <c r="AU341" i="4"/>
  <c r="AU342" i="4"/>
  <c r="AU343" i="4"/>
  <c r="AU344" i="4"/>
  <c r="AU345" i="4"/>
  <c r="AU346" i="4"/>
  <c r="AU347" i="4"/>
  <c r="AU348" i="4"/>
  <c r="AU349" i="4"/>
  <c r="AU350" i="4"/>
  <c r="AU351" i="4"/>
  <c r="AU352" i="4"/>
  <c r="AU353" i="4"/>
  <c r="AU354" i="4"/>
  <c r="AU355" i="4"/>
  <c r="AU356" i="4"/>
  <c r="AU357" i="4"/>
  <c r="AU358" i="4"/>
  <c r="AU359" i="4"/>
  <c r="AU360" i="4"/>
  <c r="AU361" i="4"/>
  <c r="AU362" i="4"/>
  <c r="AU363" i="4"/>
  <c r="AU364" i="4"/>
  <c r="AU365" i="4"/>
  <c r="AU366" i="4"/>
  <c r="AU367" i="4"/>
  <c r="AU368" i="4"/>
  <c r="AU369" i="4"/>
  <c r="AU370" i="4"/>
  <c r="AU371" i="4"/>
  <c r="AU372" i="4"/>
  <c r="AU373" i="4"/>
  <c r="AU374" i="4"/>
  <c r="AU375" i="4"/>
  <c r="AU376" i="4"/>
  <c r="AU377" i="4"/>
  <c r="AU378" i="4"/>
  <c r="AU379" i="4"/>
  <c r="AU380" i="4"/>
  <c r="AU381" i="4"/>
  <c r="AU382" i="4"/>
  <c r="AU383" i="4"/>
  <c r="AU384" i="4"/>
  <c r="AU385" i="4"/>
  <c r="AU386" i="4"/>
  <c r="AU387" i="4"/>
  <c r="AU388" i="4"/>
  <c r="AU389" i="4"/>
  <c r="AU390" i="4"/>
  <c r="AU391" i="4"/>
  <c r="AU392" i="4"/>
  <c r="AU393" i="4"/>
  <c r="AU394" i="4"/>
  <c r="AU395" i="4"/>
  <c r="AU396" i="4"/>
  <c r="AU397" i="4"/>
  <c r="AU398" i="4"/>
  <c r="AU399" i="4"/>
  <c r="AU400" i="4"/>
  <c r="AU401" i="4"/>
  <c r="AU402" i="4"/>
  <c r="AU403" i="4"/>
  <c r="AU404" i="4"/>
  <c r="AU405" i="4"/>
  <c r="AU406" i="4"/>
  <c r="AU407" i="4"/>
  <c r="AU408" i="4"/>
  <c r="AU409" i="4"/>
  <c r="AU410" i="4"/>
  <c r="AU411" i="4"/>
  <c r="AU412" i="4"/>
  <c r="AU413" i="4"/>
  <c r="AU414" i="4"/>
  <c r="AU415" i="4"/>
  <c r="AU416" i="4"/>
  <c r="AU417" i="4"/>
  <c r="AU418" i="4"/>
  <c r="AU419" i="4"/>
  <c r="AU420" i="4"/>
  <c r="AU421" i="4"/>
  <c r="AU422" i="4"/>
  <c r="AU423" i="4"/>
  <c r="AT293" i="4"/>
  <c r="AT294" i="4"/>
  <c r="AT295" i="4"/>
  <c r="AT296" i="4"/>
  <c r="AT297" i="4"/>
  <c r="AT298" i="4"/>
  <c r="AT299" i="4"/>
  <c r="AT300" i="4"/>
  <c r="AT301" i="4"/>
  <c r="AT302" i="4"/>
  <c r="AT303" i="4"/>
  <c r="AT304" i="4"/>
  <c r="AT305" i="4"/>
  <c r="AT306" i="4"/>
  <c r="AT307" i="4"/>
  <c r="AT308" i="4"/>
  <c r="AT309" i="4"/>
  <c r="AT310" i="4"/>
  <c r="AT311" i="4"/>
  <c r="AT312" i="4"/>
  <c r="AT313" i="4"/>
  <c r="AT314" i="4"/>
  <c r="AT315" i="4"/>
  <c r="AT316" i="4"/>
  <c r="AT317" i="4"/>
  <c r="AT318" i="4"/>
  <c r="AT319" i="4"/>
  <c r="AT320" i="4"/>
  <c r="AT321" i="4"/>
  <c r="AT322" i="4"/>
  <c r="AT323" i="4"/>
  <c r="AT324" i="4"/>
  <c r="AT325" i="4"/>
  <c r="AT326" i="4"/>
  <c r="AT327" i="4"/>
  <c r="AT328" i="4"/>
  <c r="AT329" i="4"/>
  <c r="AT330" i="4"/>
  <c r="AT331" i="4"/>
  <c r="AT332" i="4"/>
  <c r="AT333" i="4"/>
  <c r="AT334" i="4"/>
  <c r="AT335" i="4"/>
  <c r="AT336" i="4"/>
  <c r="AT337" i="4"/>
  <c r="AT338" i="4"/>
  <c r="AT339" i="4"/>
  <c r="AT340" i="4"/>
  <c r="AT341" i="4"/>
  <c r="AT342" i="4"/>
  <c r="AT343" i="4"/>
  <c r="AT344" i="4"/>
  <c r="AT345" i="4"/>
  <c r="AT346" i="4"/>
  <c r="AT347" i="4"/>
  <c r="AT348" i="4"/>
  <c r="AT349" i="4"/>
  <c r="AT350" i="4"/>
  <c r="AT351" i="4"/>
  <c r="AT352" i="4"/>
  <c r="AT353" i="4"/>
  <c r="AT354" i="4"/>
  <c r="AT355" i="4"/>
  <c r="AT356" i="4"/>
  <c r="AT357" i="4"/>
  <c r="AT358" i="4"/>
  <c r="AT359" i="4"/>
  <c r="AT360" i="4"/>
  <c r="AT361" i="4"/>
  <c r="AT362" i="4"/>
  <c r="AT363" i="4"/>
  <c r="AT364" i="4"/>
  <c r="AT365" i="4"/>
  <c r="AT366" i="4"/>
  <c r="AT367" i="4"/>
  <c r="AT368" i="4"/>
  <c r="AT369" i="4"/>
  <c r="AT370" i="4"/>
  <c r="AT371" i="4"/>
  <c r="AT372" i="4"/>
  <c r="AT373" i="4"/>
  <c r="AT374" i="4"/>
  <c r="AT375" i="4"/>
  <c r="AT376" i="4"/>
  <c r="AT377" i="4"/>
  <c r="AT378" i="4"/>
  <c r="AT379" i="4"/>
  <c r="AT380" i="4"/>
  <c r="AT381" i="4"/>
  <c r="AT382" i="4"/>
  <c r="AT383" i="4"/>
  <c r="AT384" i="4"/>
  <c r="AT385" i="4"/>
  <c r="AT386" i="4"/>
  <c r="AT387" i="4"/>
  <c r="AT388" i="4"/>
  <c r="AT389" i="4"/>
  <c r="AT390" i="4"/>
  <c r="AT391" i="4"/>
  <c r="AT392" i="4"/>
  <c r="AT393" i="4"/>
  <c r="AT394" i="4"/>
  <c r="AT395" i="4"/>
  <c r="AT396" i="4"/>
  <c r="AT397" i="4"/>
  <c r="AT398" i="4"/>
  <c r="AT399" i="4"/>
  <c r="AT400" i="4"/>
  <c r="AT401" i="4"/>
  <c r="AT402" i="4"/>
  <c r="AT403" i="4"/>
  <c r="AT404" i="4"/>
  <c r="AT405" i="4"/>
  <c r="AT406" i="4"/>
  <c r="AT407" i="4"/>
  <c r="AT408" i="4"/>
  <c r="AT409" i="4"/>
  <c r="AT410" i="4"/>
  <c r="AT411" i="4"/>
  <c r="AT412" i="4"/>
  <c r="AT413" i="4"/>
  <c r="AT414" i="4"/>
  <c r="AT415" i="4"/>
  <c r="AT416" i="4"/>
  <c r="AT417" i="4"/>
  <c r="AT418" i="4"/>
  <c r="AT419" i="4"/>
  <c r="AT420" i="4"/>
  <c r="AT421" i="4"/>
  <c r="AT422" i="4"/>
  <c r="AT423" i="4"/>
  <c r="AS293" i="4"/>
  <c r="AS294" i="4"/>
  <c r="AS295" i="4"/>
  <c r="AS296" i="4"/>
  <c r="AS297" i="4"/>
  <c r="AS298" i="4"/>
  <c r="AS299" i="4"/>
  <c r="AS300" i="4"/>
  <c r="AS301" i="4"/>
  <c r="AS302" i="4"/>
  <c r="AS303" i="4"/>
  <c r="AS304" i="4"/>
  <c r="AS305" i="4"/>
  <c r="AS306" i="4"/>
  <c r="AS307" i="4"/>
  <c r="AS308" i="4"/>
  <c r="AS309" i="4"/>
  <c r="AS310" i="4"/>
  <c r="AS311" i="4"/>
  <c r="AS312" i="4"/>
  <c r="AS313" i="4"/>
  <c r="AS314" i="4"/>
  <c r="AS315" i="4"/>
  <c r="AS316" i="4"/>
  <c r="AS317" i="4"/>
  <c r="AS318" i="4"/>
  <c r="AS319" i="4"/>
  <c r="AS320" i="4"/>
  <c r="AS321" i="4"/>
  <c r="AS322" i="4"/>
  <c r="AS323" i="4"/>
  <c r="AS324" i="4"/>
  <c r="AS325" i="4"/>
  <c r="AS326" i="4"/>
  <c r="AS327" i="4"/>
  <c r="AS328" i="4"/>
  <c r="AS329" i="4"/>
  <c r="AS330" i="4"/>
  <c r="AS331" i="4"/>
  <c r="AS332" i="4"/>
  <c r="AS333" i="4"/>
  <c r="AS334" i="4"/>
  <c r="AS335" i="4"/>
  <c r="AS336" i="4"/>
  <c r="AS337" i="4"/>
  <c r="AS338" i="4"/>
  <c r="AS339" i="4"/>
  <c r="AS340" i="4"/>
  <c r="AS341" i="4"/>
  <c r="AS342" i="4"/>
  <c r="AS343" i="4"/>
  <c r="AS344" i="4"/>
  <c r="AS345" i="4"/>
  <c r="AS346" i="4"/>
  <c r="AS347" i="4"/>
  <c r="AS348" i="4"/>
  <c r="AS349" i="4"/>
  <c r="AS350" i="4"/>
  <c r="AS351" i="4"/>
  <c r="AS352" i="4"/>
  <c r="AS353" i="4"/>
  <c r="AS354" i="4"/>
  <c r="AS355" i="4"/>
  <c r="AS356" i="4"/>
  <c r="AS357" i="4"/>
  <c r="AS358" i="4"/>
  <c r="AS359" i="4"/>
  <c r="AS360" i="4"/>
  <c r="AS361" i="4"/>
  <c r="AS362" i="4"/>
  <c r="AS363" i="4"/>
  <c r="AS364" i="4"/>
  <c r="AS365" i="4"/>
  <c r="AS366" i="4"/>
  <c r="AS367" i="4"/>
  <c r="AS368" i="4"/>
  <c r="AS369" i="4"/>
  <c r="AS370" i="4"/>
  <c r="AS371" i="4"/>
  <c r="AS372" i="4"/>
  <c r="AS373" i="4"/>
  <c r="AS374" i="4"/>
  <c r="AS375" i="4"/>
  <c r="AS376" i="4"/>
  <c r="AS377" i="4"/>
  <c r="AS378" i="4"/>
  <c r="AS379" i="4"/>
  <c r="AS380" i="4"/>
  <c r="AS381" i="4"/>
  <c r="AS382" i="4"/>
  <c r="AS383" i="4"/>
  <c r="AS384" i="4"/>
  <c r="AS385" i="4"/>
  <c r="AS386" i="4"/>
  <c r="AS387" i="4"/>
  <c r="AS388" i="4"/>
  <c r="AS389" i="4"/>
  <c r="AS390" i="4"/>
  <c r="AS391" i="4"/>
  <c r="AS392" i="4"/>
  <c r="AS393" i="4"/>
  <c r="AS394" i="4"/>
  <c r="AS395" i="4"/>
  <c r="AS396" i="4"/>
  <c r="AS397" i="4"/>
  <c r="AS398" i="4"/>
  <c r="AS399" i="4"/>
  <c r="AS400" i="4"/>
  <c r="AS401" i="4"/>
  <c r="AS402" i="4"/>
  <c r="AS403" i="4"/>
  <c r="AS404" i="4"/>
  <c r="AS405" i="4"/>
  <c r="AS406" i="4"/>
  <c r="AS407" i="4"/>
  <c r="AS408" i="4"/>
  <c r="AS409" i="4"/>
  <c r="AS410" i="4"/>
  <c r="AS411" i="4"/>
  <c r="AS412" i="4"/>
  <c r="AS413" i="4"/>
  <c r="AS414" i="4"/>
  <c r="AS415" i="4"/>
  <c r="AS416" i="4"/>
  <c r="AS417" i="4"/>
  <c r="AS418" i="4"/>
  <c r="AS419" i="4"/>
  <c r="AS420" i="4"/>
  <c r="AS421" i="4"/>
  <c r="AS422" i="4"/>
  <c r="AS423" i="4"/>
  <c r="AR293" i="4"/>
  <c r="AR294" i="4"/>
  <c r="AR295" i="4"/>
  <c r="AR296" i="4"/>
  <c r="AR297" i="4"/>
  <c r="AR298" i="4"/>
  <c r="AR299" i="4"/>
  <c r="AR300" i="4"/>
  <c r="AR301" i="4"/>
  <c r="AR302" i="4"/>
  <c r="AR303" i="4"/>
  <c r="AR304" i="4"/>
  <c r="AR305" i="4"/>
  <c r="AR306" i="4"/>
  <c r="AR307" i="4"/>
  <c r="AR308" i="4"/>
  <c r="AR309" i="4"/>
  <c r="AR310" i="4"/>
  <c r="AR311" i="4"/>
  <c r="AR312" i="4"/>
  <c r="AR313" i="4"/>
  <c r="AR314" i="4"/>
  <c r="AR315" i="4"/>
  <c r="AR316" i="4"/>
  <c r="AR317" i="4"/>
  <c r="AR318" i="4"/>
  <c r="AR319" i="4"/>
  <c r="AR320" i="4"/>
  <c r="AR321" i="4"/>
  <c r="AR322" i="4"/>
  <c r="AR323" i="4"/>
  <c r="AR324" i="4"/>
  <c r="AR325" i="4"/>
  <c r="AR326" i="4"/>
  <c r="AR327" i="4"/>
  <c r="AR328" i="4"/>
  <c r="AR329" i="4"/>
  <c r="AR330" i="4"/>
  <c r="AR331" i="4"/>
  <c r="AR332" i="4"/>
  <c r="AR333" i="4"/>
  <c r="AR334" i="4"/>
  <c r="AR335" i="4"/>
  <c r="AR336" i="4"/>
  <c r="AR337" i="4"/>
  <c r="AR338" i="4"/>
  <c r="AR339" i="4"/>
  <c r="AR340" i="4"/>
  <c r="AR341" i="4"/>
  <c r="AR342" i="4"/>
  <c r="AR343" i="4"/>
  <c r="AR344" i="4"/>
  <c r="AR345" i="4"/>
  <c r="AR346" i="4"/>
  <c r="AR347" i="4"/>
  <c r="AR348" i="4"/>
  <c r="AR349" i="4"/>
  <c r="AR350" i="4"/>
  <c r="AR351" i="4"/>
  <c r="AR352" i="4"/>
  <c r="AR353" i="4"/>
  <c r="AR354" i="4"/>
  <c r="AR355" i="4"/>
  <c r="AR356" i="4"/>
  <c r="AR357" i="4"/>
  <c r="AR358" i="4"/>
  <c r="AR359" i="4"/>
  <c r="AR360" i="4"/>
  <c r="AR361" i="4"/>
  <c r="AR362" i="4"/>
  <c r="AR363" i="4"/>
  <c r="AR364" i="4"/>
  <c r="AR365" i="4"/>
  <c r="AR366" i="4"/>
  <c r="AR367" i="4"/>
  <c r="AR368" i="4"/>
  <c r="AR369" i="4"/>
  <c r="AR370" i="4"/>
  <c r="AR371" i="4"/>
  <c r="AR372" i="4"/>
  <c r="AR373" i="4"/>
  <c r="AR374" i="4"/>
  <c r="AR375" i="4"/>
  <c r="AR376" i="4"/>
  <c r="AR377" i="4"/>
  <c r="AR378" i="4"/>
  <c r="AR379" i="4"/>
  <c r="AR380" i="4"/>
  <c r="AR381" i="4"/>
  <c r="AR382" i="4"/>
  <c r="AR383" i="4"/>
  <c r="AR384" i="4"/>
  <c r="AR385" i="4"/>
  <c r="AR386" i="4"/>
  <c r="AR387" i="4"/>
  <c r="AR388" i="4"/>
  <c r="AR389" i="4"/>
  <c r="AR390" i="4"/>
  <c r="AR391" i="4"/>
  <c r="AR392" i="4"/>
  <c r="AR393" i="4"/>
  <c r="AR394" i="4"/>
  <c r="AR395" i="4"/>
  <c r="AR396" i="4"/>
  <c r="AR397" i="4"/>
  <c r="AR398" i="4"/>
  <c r="AR399" i="4"/>
  <c r="AR400" i="4"/>
  <c r="AR401" i="4"/>
  <c r="AR402" i="4"/>
  <c r="AR403" i="4"/>
  <c r="AR404" i="4"/>
  <c r="AR405" i="4"/>
  <c r="AR406" i="4"/>
  <c r="AR407" i="4"/>
  <c r="AR408" i="4"/>
  <c r="AR409" i="4"/>
  <c r="AR410" i="4"/>
  <c r="AR411" i="4"/>
  <c r="AR412" i="4"/>
  <c r="AR413" i="4"/>
  <c r="AR414" i="4"/>
  <c r="AR415" i="4"/>
  <c r="AR416" i="4"/>
  <c r="AR417" i="4"/>
  <c r="AR418" i="4"/>
  <c r="AR419" i="4"/>
  <c r="AR420" i="4"/>
  <c r="AR421" i="4"/>
  <c r="AR422" i="4"/>
  <c r="AR423" i="4"/>
  <c r="AY292" i="4"/>
  <c r="AY291" i="4" s="1"/>
  <c r="P76" i="1" s="1"/>
  <c r="AX292" i="4"/>
  <c r="AX291" i="4" s="1"/>
  <c r="O76" i="1" s="1"/>
  <c r="AW292" i="4"/>
  <c r="AV292" i="4"/>
  <c r="AU292" i="4"/>
  <c r="AT292" i="4"/>
  <c r="AS292" i="4"/>
  <c r="AR292" i="4"/>
  <c r="AR151" i="4"/>
  <c r="AY152" i="4"/>
  <c r="AY153" i="4"/>
  <c r="AY154" i="4"/>
  <c r="AY155" i="4"/>
  <c r="AY156" i="4"/>
  <c r="AY157" i="4"/>
  <c r="AY158" i="4"/>
  <c r="AY159" i="4"/>
  <c r="AY160" i="4"/>
  <c r="AY161" i="4"/>
  <c r="AY162" i="4"/>
  <c r="AY163" i="4"/>
  <c r="AY164" i="4"/>
  <c r="AY165" i="4"/>
  <c r="AY166" i="4"/>
  <c r="AY167" i="4"/>
  <c r="AY168" i="4"/>
  <c r="AY169" i="4"/>
  <c r="AY170" i="4"/>
  <c r="AY171" i="4"/>
  <c r="AY172" i="4"/>
  <c r="AY173" i="4"/>
  <c r="AY174" i="4"/>
  <c r="AY175" i="4"/>
  <c r="AY176" i="4"/>
  <c r="AY177" i="4"/>
  <c r="AY178" i="4"/>
  <c r="AY179" i="4"/>
  <c r="AY180" i="4"/>
  <c r="AY181" i="4"/>
  <c r="AY182" i="4"/>
  <c r="AY183" i="4"/>
  <c r="AY184" i="4"/>
  <c r="AY185" i="4"/>
  <c r="AY186" i="4"/>
  <c r="AY187" i="4"/>
  <c r="AY188" i="4"/>
  <c r="AY189" i="4"/>
  <c r="AY190" i="4"/>
  <c r="AY191" i="4"/>
  <c r="AY192" i="4"/>
  <c r="AY193" i="4"/>
  <c r="AY194" i="4"/>
  <c r="AY195" i="4"/>
  <c r="AY196" i="4"/>
  <c r="AY197" i="4"/>
  <c r="AY198" i="4"/>
  <c r="AY199" i="4"/>
  <c r="AY200" i="4"/>
  <c r="AY201" i="4"/>
  <c r="AY202" i="4"/>
  <c r="AY203" i="4"/>
  <c r="AY204" i="4"/>
  <c r="AY205" i="4"/>
  <c r="AY206" i="4"/>
  <c r="AY207" i="4"/>
  <c r="AY208" i="4"/>
  <c r="AY209" i="4"/>
  <c r="AY210" i="4"/>
  <c r="AY211" i="4"/>
  <c r="AY212" i="4"/>
  <c r="AY213" i="4"/>
  <c r="AY214" i="4"/>
  <c r="AY215" i="4"/>
  <c r="AY216" i="4"/>
  <c r="AY217" i="4"/>
  <c r="AY218" i="4"/>
  <c r="AY219" i="4"/>
  <c r="AY220" i="4"/>
  <c r="AY221" i="4"/>
  <c r="AY222" i="4"/>
  <c r="AY223" i="4"/>
  <c r="AY224" i="4"/>
  <c r="AY225" i="4"/>
  <c r="AY226" i="4"/>
  <c r="AY227" i="4"/>
  <c r="AY228" i="4"/>
  <c r="AY229" i="4"/>
  <c r="AY230" i="4"/>
  <c r="AY231" i="4"/>
  <c r="AY232" i="4"/>
  <c r="AY233" i="4"/>
  <c r="AY234" i="4"/>
  <c r="AY235" i="4"/>
  <c r="AY236" i="4"/>
  <c r="AY237" i="4"/>
  <c r="AY238" i="4"/>
  <c r="AY239" i="4"/>
  <c r="AY240" i="4"/>
  <c r="AY241" i="4"/>
  <c r="AY242" i="4"/>
  <c r="AY243" i="4"/>
  <c r="AY244" i="4"/>
  <c r="AY245" i="4"/>
  <c r="AY246" i="4"/>
  <c r="AY247" i="4"/>
  <c r="AY248" i="4"/>
  <c r="AY249" i="4"/>
  <c r="AY250" i="4"/>
  <c r="AY251" i="4"/>
  <c r="AY252" i="4"/>
  <c r="AY253" i="4"/>
  <c r="AY254" i="4"/>
  <c r="AY255" i="4"/>
  <c r="AY256" i="4"/>
  <c r="AY257" i="4"/>
  <c r="AY258" i="4"/>
  <c r="AY259" i="4"/>
  <c r="AY260" i="4"/>
  <c r="AY261" i="4"/>
  <c r="AY262" i="4"/>
  <c r="AY263" i="4"/>
  <c r="AY264" i="4"/>
  <c r="AY265" i="4"/>
  <c r="AY266" i="4"/>
  <c r="AY267" i="4"/>
  <c r="AY268" i="4"/>
  <c r="AY269" i="4"/>
  <c r="AY270" i="4"/>
  <c r="AY271" i="4"/>
  <c r="AY272" i="4"/>
  <c r="AY273" i="4"/>
  <c r="AY274" i="4"/>
  <c r="AY275" i="4"/>
  <c r="AY276" i="4"/>
  <c r="AY277" i="4"/>
  <c r="AY278" i="4"/>
  <c r="AY279" i="4"/>
  <c r="AY280" i="4"/>
  <c r="AY281" i="4"/>
  <c r="AY282" i="4"/>
  <c r="AX152" i="4"/>
  <c r="AX153" i="4"/>
  <c r="AX154" i="4"/>
  <c r="AX155" i="4"/>
  <c r="AX156" i="4"/>
  <c r="AX157" i="4"/>
  <c r="AX158" i="4"/>
  <c r="AX159" i="4"/>
  <c r="AX160" i="4"/>
  <c r="AX161" i="4"/>
  <c r="AX162" i="4"/>
  <c r="AX163" i="4"/>
  <c r="AX164" i="4"/>
  <c r="AX165" i="4"/>
  <c r="AX166" i="4"/>
  <c r="AX167" i="4"/>
  <c r="AX168" i="4"/>
  <c r="AX169" i="4"/>
  <c r="AX170" i="4"/>
  <c r="AX171" i="4"/>
  <c r="AX172" i="4"/>
  <c r="AX173" i="4"/>
  <c r="AX174" i="4"/>
  <c r="AX175" i="4"/>
  <c r="AX176" i="4"/>
  <c r="AX177" i="4"/>
  <c r="AX178" i="4"/>
  <c r="AX179" i="4"/>
  <c r="AX180" i="4"/>
  <c r="AX181" i="4"/>
  <c r="AX182" i="4"/>
  <c r="AX183" i="4"/>
  <c r="AX184" i="4"/>
  <c r="AX185" i="4"/>
  <c r="AX186" i="4"/>
  <c r="AX187" i="4"/>
  <c r="AX188" i="4"/>
  <c r="AX189" i="4"/>
  <c r="AX190" i="4"/>
  <c r="AX191" i="4"/>
  <c r="AX192" i="4"/>
  <c r="AX193" i="4"/>
  <c r="AX194" i="4"/>
  <c r="AX195" i="4"/>
  <c r="AX196" i="4"/>
  <c r="AX197" i="4"/>
  <c r="AX198" i="4"/>
  <c r="AX199" i="4"/>
  <c r="AX200" i="4"/>
  <c r="AX201" i="4"/>
  <c r="AX202" i="4"/>
  <c r="AX203" i="4"/>
  <c r="AX204" i="4"/>
  <c r="AX205" i="4"/>
  <c r="AX206" i="4"/>
  <c r="AX207" i="4"/>
  <c r="AX208" i="4"/>
  <c r="AX209" i="4"/>
  <c r="AX210" i="4"/>
  <c r="AX211" i="4"/>
  <c r="AX212" i="4"/>
  <c r="AX213" i="4"/>
  <c r="AX214" i="4"/>
  <c r="AX215" i="4"/>
  <c r="AX216" i="4"/>
  <c r="AX217" i="4"/>
  <c r="AX218" i="4"/>
  <c r="AX219" i="4"/>
  <c r="AX220" i="4"/>
  <c r="AX221" i="4"/>
  <c r="AX222" i="4"/>
  <c r="AX223" i="4"/>
  <c r="AX224" i="4"/>
  <c r="AX225" i="4"/>
  <c r="AX226" i="4"/>
  <c r="AX227" i="4"/>
  <c r="AX228" i="4"/>
  <c r="AX229" i="4"/>
  <c r="AX230" i="4"/>
  <c r="AX231" i="4"/>
  <c r="AX232" i="4"/>
  <c r="AX233" i="4"/>
  <c r="AX234" i="4"/>
  <c r="AX235" i="4"/>
  <c r="AX236" i="4"/>
  <c r="AX237" i="4"/>
  <c r="AX238" i="4"/>
  <c r="AX239" i="4"/>
  <c r="AX240" i="4"/>
  <c r="AX241" i="4"/>
  <c r="AX242" i="4"/>
  <c r="AX243" i="4"/>
  <c r="AX244" i="4"/>
  <c r="AX245" i="4"/>
  <c r="AX246" i="4"/>
  <c r="AX247" i="4"/>
  <c r="AX248" i="4"/>
  <c r="AX249" i="4"/>
  <c r="AX250" i="4"/>
  <c r="AX251" i="4"/>
  <c r="AX252" i="4"/>
  <c r="AX253" i="4"/>
  <c r="AX254" i="4"/>
  <c r="AX255" i="4"/>
  <c r="AX256" i="4"/>
  <c r="AX257" i="4"/>
  <c r="AX258" i="4"/>
  <c r="AX259" i="4"/>
  <c r="AX260" i="4"/>
  <c r="AX261" i="4"/>
  <c r="AX262" i="4"/>
  <c r="AX263" i="4"/>
  <c r="AX264" i="4"/>
  <c r="AX265" i="4"/>
  <c r="AX266" i="4"/>
  <c r="AX267" i="4"/>
  <c r="AX268" i="4"/>
  <c r="AX269" i="4"/>
  <c r="AX270" i="4"/>
  <c r="AX271" i="4"/>
  <c r="AX272" i="4"/>
  <c r="AX273" i="4"/>
  <c r="AX274" i="4"/>
  <c r="AX275" i="4"/>
  <c r="AX276" i="4"/>
  <c r="AX277" i="4"/>
  <c r="AX278" i="4"/>
  <c r="AX279" i="4"/>
  <c r="AX280" i="4"/>
  <c r="AX281" i="4"/>
  <c r="AX282" i="4"/>
  <c r="AW152" i="4"/>
  <c r="AW153" i="4"/>
  <c r="AW154" i="4"/>
  <c r="AW155" i="4"/>
  <c r="AW156" i="4"/>
  <c r="AW157" i="4"/>
  <c r="AW158" i="4"/>
  <c r="AW159" i="4"/>
  <c r="AW160" i="4"/>
  <c r="AW161" i="4"/>
  <c r="AW162" i="4"/>
  <c r="AW163" i="4"/>
  <c r="AW164" i="4"/>
  <c r="AW165" i="4"/>
  <c r="AW166" i="4"/>
  <c r="AW167" i="4"/>
  <c r="AW168" i="4"/>
  <c r="AW169" i="4"/>
  <c r="AW170" i="4"/>
  <c r="AW171" i="4"/>
  <c r="AW172" i="4"/>
  <c r="AW173" i="4"/>
  <c r="AW174" i="4"/>
  <c r="AW175" i="4"/>
  <c r="AW176" i="4"/>
  <c r="AW177" i="4"/>
  <c r="AW178" i="4"/>
  <c r="AW179" i="4"/>
  <c r="AW180" i="4"/>
  <c r="AW181" i="4"/>
  <c r="AW182" i="4"/>
  <c r="AW183" i="4"/>
  <c r="AW184" i="4"/>
  <c r="AW185" i="4"/>
  <c r="AW186" i="4"/>
  <c r="AW187" i="4"/>
  <c r="AW188" i="4"/>
  <c r="AW189" i="4"/>
  <c r="AW190" i="4"/>
  <c r="AW191" i="4"/>
  <c r="AW192" i="4"/>
  <c r="AW193" i="4"/>
  <c r="AW194" i="4"/>
  <c r="AW195" i="4"/>
  <c r="AW196" i="4"/>
  <c r="AW197" i="4"/>
  <c r="AW198" i="4"/>
  <c r="AW199" i="4"/>
  <c r="AW200" i="4"/>
  <c r="AW201" i="4"/>
  <c r="AW202" i="4"/>
  <c r="AW203" i="4"/>
  <c r="AW204" i="4"/>
  <c r="AW205" i="4"/>
  <c r="AW206" i="4"/>
  <c r="AW207" i="4"/>
  <c r="AW208" i="4"/>
  <c r="AW209" i="4"/>
  <c r="AW210" i="4"/>
  <c r="AW211" i="4"/>
  <c r="AW212" i="4"/>
  <c r="AW213" i="4"/>
  <c r="AW214" i="4"/>
  <c r="AW215" i="4"/>
  <c r="AW216" i="4"/>
  <c r="AW217" i="4"/>
  <c r="AW218" i="4"/>
  <c r="AW219" i="4"/>
  <c r="AW220" i="4"/>
  <c r="AW221" i="4"/>
  <c r="AW222" i="4"/>
  <c r="AW223" i="4"/>
  <c r="AW224" i="4"/>
  <c r="AW225" i="4"/>
  <c r="AW226" i="4"/>
  <c r="AW227" i="4"/>
  <c r="AW228" i="4"/>
  <c r="AW229" i="4"/>
  <c r="AW230" i="4"/>
  <c r="AW231" i="4"/>
  <c r="AW232" i="4"/>
  <c r="AW233" i="4"/>
  <c r="AW234" i="4"/>
  <c r="AW235" i="4"/>
  <c r="AW236" i="4"/>
  <c r="AW237" i="4"/>
  <c r="AW238" i="4"/>
  <c r="AW239" i="4"/>
  <c r="AW240" i="4"/>
  <c r="AW241" i="4"/>
  <c r="AW242" i="4"/>
  <c r="AW243" i="4"/>
  <c r="AW244" i="4"/>
  <c r="AW245" i="4"/>
  <c r="AW246" i="4"/>
  <c r="AW247" i="4"/>
  <c r="AW248" i="4"/>
  <c r="AW249" i="4"/>
  <c r="AW250" i="4"/>
  <c r="AW251" i="4"/>
  <c r="AW252" i="4"/>
  <c r="AW253" i="4"/>
  <c r="AW254" i="4"/>
  <c r="AW255" i="4"/>
  <c r="AW256" i="4"/>
  <c r="AW257" i="4"/>
  <c r="AW258" i="4"/>
  <c r="AW259" i="4"/>
  <c r="AW260" i="4"/>
  <c r="AW261" i="4"/>
  <c r="AW262" i="4"/>
  <c r="AW263" i="4"/>
  <c r="AW264" i="4"/>
  <c r="AW265" i="4"/>
  <c r="AW266" i="4"/>
  <c r="AW267" i="4"/>
  <c r="AW268" i="4"/>
  <c r="AW269" i="4"/>
  <c r="AW270" i="4"/>
  <c r="AW271" i="4"/>
  <c r="AW272" i="4"/>
  <c r="AW273" i="4"/>
  <c r="AW274" i="4"/>
  <c r="AW275" i="4"/>
  <c r="AW276" i="4"/>
  <c r="AW277" i="4"/>
  <c r="AW278" i="4"/>
  <c r="AW279" i="4"/>
  <c r="AW280" i="4"/>
  <c r="AW281" i="4"/>
  <c r="AW282" i="4"/>
  <c r="AV152" i="4"/>
  <c r="AV153" i="4"/>
  <c r="AV154" i="4"/>
  <c r="AV155" i="4"/>
  <c r="AV156" i="4"/>
  <c r="AV157" i="4"/>
  <c r="AV158" i="4"/>
  <c r="AV159" i="4"/>
  <c r="AV160" i="4"/>
  <c r="AV161" i="4"/>
  <c r="AV162" i="4"/>
  <c r="AV163" i="4"/>
  <c r="AV164" i="4"/>
  <c r="AV165" i="4"/>
  <c r="AV166" i="4"/>
  <c r="AV167" i="4"/>
  <c r="AV168" i="4"/>
  <c r="AV169" i="4"/>
  <c r="AV170" i="4"/>
  <c r="AV171" i="4"/>
  <c r="AV172" i="4"/>
  <c r="AV173" i="4"/>
  <c r="AV174" i="4"/>
  <c r="AV175" i="4"/>
  <c r="AV176" i="4"/>
  <c r="AV177" i="4"/>
  <c r="AV178" i="4"/>
  <c r="AV179" i="4"/>
  <c r="AV180" i="4"/>
  <c r="AV181" i="4"/>
  <c r="AV182" i="4"/>
  <c r="AV183" i="4"/>
  <c r="AV184" i="4"/>
  <c r="AV185" i="4"/>
  <c r="AV186" i="4"/>
  <c r="AV187" i="4"/>
  <c r="AV188" i="4"/>
  <c r="AV189" i="4"/>
  <c r="AV190" i="4"/>
  <c r="AV191" i="4"/>
  <c r="AV192" i="4"/>
  <c r="AV193" i="4"/>
  <c r="AV194" i="4"/>
  <c r="AV195" i="4"/>
  <c r="AV196" i="4"/>
  <c r="AV197" i="4"/>
  <c r="AV198" i="4"/>
  <c r="AV199" i="4"/>
  <c r="AV200" i="4"/>
  <c r="AV201" i="4"/>
  <c r="AV202" i="4"/>
  <c r="AV203" i="4"/>
  <c r="AV204" i="4"/>
  <c r="AV205" i="4"/>
  <c r="AV206" i="4"/>
  <c r="AV207" i="4"/>
  <c r="AV208" i="4"/>
  <c r="AV209" i="4"/>
  <c r="AV210" i="4"/>
  <c r="AV211" i="4"/>
  <c r="AV212" i="4"/>
  <c r="AV213" i="4"/>
  <c r="AV214" i="4"/>
  <c r="AV215" i="4"/>
  <c r="AV216" i="4"/>
  <c r="AV217" i="4"/>
  <c r="AV218" i="4"/>
  <c r="AV219" i="4"/>
  <c r="AV220" i="4"/>
  <c r="AV221" i="4"/>
  <c r="AV222" i="4"/>
  <c r="AV223" i="4"/>
  <c r="AV224" i="4"/>
  <c r="AV225" i="4"/>
  <c r="AV226" i="4"/>
  <c r="AV227" i="4"/>
  <c r="AV228" i="4"/>
  <c r="AV229" i="4"/>
  <c r="AV230" i="4"/>
  <c r="AV231" i="4"/>
  <c r="AV232" i="4"/>
  <c r="AV233" i="4"/>
  <c r="AV234" i="4"/>
  <c r="AV235" i="4"/>
  <c r="AV236" i="4"/>
  <c r="AV237" i="4"/>
  <c r="AV238" i="4"/>
  <c r="AV239" i="4"/>
  <c r="AV240" i="4"/>
  <c r="AV241" i="4"/>
  <c r="AV242" i="4"/>
  <c r="AV243" i="4"/>
  <c r="AV244" i="4"/>
  <c r="AV245" i="4"/>
  <c r="AV246" i="4"/>
  <c r="AV247" i="4"/>
  <c r="AV248" i="4"/>
  <c r="AV249" i="4"/>
  <c r="AV250" i="4"/>
  <c r="AV251" i="4"/>
  <c r="AV252" i="4"/>
  <c r="AV253" i="4"/>
  <c r="AV254" i="4"/>
  <c r="AV255" i="4"/>
  <c r="AV256" i="4"/>
  <c r="AV257" i="4"/>
  <c r="AV258" i="4"/>
  <c r="AV259" i="4"/>
  <c r="AV260" i="4"/>
  <c r="AV261" i="4"/>
  <c r="AV262" i="4"/>
  <c r="AV263" i="4"/>
  <c r="AV264" i="4"/>
  <c r="AV265" i="4"/>
  <c r="AV266" i="4"/>
  <c r="AV267" i="4"/>
  <c r="AV268" i="4"/>
  <c r="AV269" i="4"/>
  <c r="AV270" i="4"/>
  <c r="AV271" i="4"/>
  <c r="AV272" i="4"/>
  <c r="AV273" i="4"/>
  <c r="AV274" i="4"/>
  <c r="AV275" i="4"/>
  <c r="AV276" i="4"/>
  <c r="AV277" i="4"/>
  <c r="AV278" i="4"/>
  <c r="AV279" i="4"/>
  <c r="AV280" i="4"/>
  <c r="AV281" i="4"/>
  <c r="AV282" i="4"/>
  <c r="AT152" i="4"/>
  <c r="AT153" i="4"/>
  <c r="AT154" i="4"/>
  <c r="AT155" i="4"/>
  <c r="AT156" i="4"/>
  <c r="AT157" i="4"/>
  <c r="AT158" i="4"/>
  <c r="AT159" i="4"/>
  <c r="AT160" i="4"/>
  <c r="AT161" i="4"/>
  <c r="AT162" i="4"/>
  <c r="AT163" i="4"/>
  <c r="AT164" i="4"/>
  <c r="AT165" i="4"/>
  <c r="AT166" i="4"/>
  <c r="AT167" i="4"/>
  <c r="AT168" i="4"/>
  <c r="AT169" i="4"/>
  <c r="AT170" i="4"/>
  <c r="AT171" i="4"/>
  <c r="AT172" i="4"/>
  <c r="AT173" i="4"/>
  <c r="AT174" i="4"/>
  <c r="AT175" i="4"/>
  <c r="AT176" i="4"/>
  <c r="AT177" i="4"/>
  <c r="AT178" i="4"/>
  <c r="AT179" i="4"/>
  <c r="AT180" i="4"/>
  <c r="AT181" i="4"/>
  <c r="AT182" i="4"/>
  <c r="AT183" i="4"/>
  <c r="AT184" i="4"/>
  <c r="AT185" i="4"/>
  <c r="AT186" i="4"/>
  <c r="AT187" i="4"/>
  <c r="AT188" i="4"/>
  <c r="AT189" i="4"/>
  <c r="AT190" i="4"/>
  <c r="AT191" i="4"/>
  <c r="AT192" i="4"/>
  <c r="AT193" i="4"/>
  <c r="AT194" i="4"/>
  <c r="AT195" i="4"/>
  <c r="AT196" i="4"/>
  <c r="AT197" i="4"/>
  <c r="AT198" i="4"/>
  <c r="AT199" i="4"/>
  <c r="AT200" i="4"/>
  <c r="AT201" i="4"/>
  <c r="AT202" i="4"/>
  <c r="AT203" i="4"/>
  <c r="AT204" i="4"/>
  <c r="AT205" i="4"/>
  <c r="AT206" i="4"/>
  <c r="AT207" i="4"/>
  <c r="AT208" i="4"/>
  <c r="AT209" i="4"/>
  <c r="AT210" i="4"/>
  <c r="AT211" i="4"/>
  <c r="AT212" i="4"/>
  <c r="AT213" i="4"/>
  <c r="AT214" i="4"/>
  <c r="AT215" i="4"/>
  <c r="AT216" i="4"/>
  <c r="AT217" i="4"/>
  <c r="AT218" i="4"/>
  <c r="AT219" i="4"/>
  <c r="AT220" i="4"/>
  <c r="AT221" i="4"/>
  <c r="AT222" i="4"/>
  <c r="AT223" i="4"/>
  <c r="AT224" i="4"/>
  <c r="AT225" i="4"/>
  <c r="AT226" i="4"/>
  <c r="AT227" i="4"/>
  <c r="AT228" i="4"/>
  <c r="AT229" i="4"/>
  <c r="AT230" i="4"/>
  <c r="AT231" i="4"/>
  <c r="AT232" i="4"/>
  <c r="AT233" i="4"/>
  <c r="AT234" i="4"/>
  <c r="AT235" i="4"/>
  <c r="AT236" i="4"/>
  <c r="AT237" i="4"/>
  <c r="AT238" i="4"/>
  <c r="AT239" i="4"/>
  <c r="AT240" i="4"/>
  <c r="AT241" i="4"/>
  <c r="AT242" i="4"/>
  <c r="AT243" i="4"/>
  <c r="AT244" i="4"/>
  <c r="AT245" i="4"/>
  <c r="AT246" i="4"/>
  <c r="AT247" i="4"/>
  <c r="AT248" i="4"/>
  <c r="AT249" i="4"/>
  <c r="AT250" i="4"/>
  <c r="AT251" i="4"/>
  <c r="AT252" i="4"/>
  <c r="AT253" i="4"/>
  <c r="AT254" i="4"/>
  <c r="AT255" i="4"/>
  <c r="AT256" i="4"/>
  <c r="AT257" i="4"/>
  <c r="AT258" i="4"/>
  <c r="AT259" i="4"/>
  <c r="AT260" i="4"/>
  <c r="AT261" i="4"/>
  <c r="AT262" i="4"/>
  <c r="AT263" i="4"/>
  <c r="AT264" i="4"/>
  <c r="AT265" i="4"/>
  <c r="AT266" i="4"/>
  <c r="AT267" i="4"/>
  <c r="AT268" i="4"/>
  <c r="AT269" i="4"/>
  <c r="AT270" i="4"/>
  <c r="AT271" i="4"/>
  <c r="AT272" i="4"/>
  <c r="AT273" i="4"/>
  <c r="AT274" i="4"/>
  <c r="AT275" i="4"/>
  <c r="AT276" i="4"/>
  <c r="AT277" i="4"/>
  <c r="AT278" i="4"/>
  <c r="AT279" i="4"/>
  <c r="AT280" i="4"/>
  <c r="AT281" i="4"/>
  <c r="AT282" i="4"/>
  <c r="AY151" i="4"/>
  <c r="AY150" i="4" s="1"/>
  <c r="P74" i="1" s="1"/>
  <c r="AX151" i="4"/>
  <c r="AW151" i="4"/>
  <c r="AV151" i="4"/>
  <c r="AT151" i="4"/>
  <c r="AS152" i="4"/>
  <c r="AS153" i="4"/>
  <c r="AS154" i="4"/>
  <c r="AS155" i="4"/>
  <c r="AS156" i="4"/>
  <c r="AS157" i="4"/>
  <c r="AS158" i="4"/>
  <c r="AS159" i="4"/>
  <c r="AS160" i="4"/>
  <c r="AS161" i="4"/>
  <c r="AS162" i="4"/>
  <c r="AS163" i="4"/>
  <c r="AS164" i="4"/>
  <c r="AS165" i="4"/>
  <c r="AS166" i="4"/>
  <c r="AS167" i="4"/>
  <c r="AS168" i="4"/>
  <c r="AS169" i="4"/>
  <c r="AS170" i="4"/>
  <c r="AS171" i="4"/>
  <c r="AS172" i="4"/>
  <c r="AS173" i="4"/>
  <c r="AS174" i="4"/>
  <c r="AS175" i="4"/>
  <c r="AS176" i="4"/>
  <c r="AS177" i="4"/>
  <c r="AS178" i="4"/>
  <c r="AS179" i="4"/>
  <c r="AS180" i="4"/>
  <c r="AS181" i="4"/>
  <c r="AS182" i="4"/>
  <c r="AS183" i="4"/>
  <c r="AS184" i="4"/>
  <c r="AS185" i="4"/>
  <c r="AS186" i="4"/>
  <c r="AS187" i="4"/>
  <c r="AS188" i="4"/>
  <c r="AS189" i="4"/>
  <c r="AS190" i="4"/>
  <c r="AS191" i="4"/>
  <c r="AS192" i="4"/>
  <c r="AS193" i="4"/>
  <c r="AS194" i="4"/>
  <c r="AS195" i="4"/>
  <c r="AS196" i="4"/>
  <c r="AS197" i="4"/>
  <c r="AS198" i="4"/>
  <c r="AS199" i="4"/>
  <c r="AS200" i="4"/>
  <c r="AS201" i="4"/>
  <c r="AS202" i="4"/>
  <c r="AS203" i="4"/>
  <c r="AS204" i="4"/>
  <c r="AS205" i="4"/>
  <c r="AS206" i="4"/>
  <c r="AS207" i="4"/>
  <c r="AS208" i="4"/>
  <c r="AS209" i="4"/>
  <c r="AS210" i="4"/>
  <c r="AS211" i="4"/>
  <c r="AS212" i="4"/>
  <c r="AS213" i="4"/>
  <c r="AS214" i="4"/>
  <c r="AS215" i="4"/>
  <c r="AS216" i="4"/>
  <c r="AS217" i="4"/>
  <c r="AS218" i="4"/>
  <c r="AS219" i="4"/>
  <c r="AS220" i="4"/>
  <c r="AS221" i="4"/>
  <c r="AS222" i="4"/>
  <c r="AS223" i="4"/>
  <c r="AS224" i="4"/>
  <c r="AS225" i="4"/>
  <c r="AS226" i="4"/>
  <c r="AS227" i="4"/>
  <c r="AS228" i="4"/>
  <c r="AS229" i="4"/>
  <c r="AS230" i="4"/>
  <c r="AS231" i="4"/>
  <c r="AS232" i="4"/>
  <c r="AS233" i="4"/>
  <c r="AS234" i="4"/>
  <c r="AS235" i="4"/>
  <c r="AS236" i="4"/>
  <c r="AS237" i="4"/>
  <c r="AS238" i="4"/>
  <c r="AS239" i="4"/>
  <c r="AS240" i="4"/>
  <c r="AS241" i="4"/>
  <c r="AS242" i="4"/>
  <c r="AS243" i="4"/>
  <c r="AS244" i="4"/>
  <c r="AS245" i="4"/>
  <c r="AS246" i="4"/>
  <c r="AS247" i="4"/>
  <c r="AS248" i="4"/>
  <c r="AS249" i="4"/>
  <c r="AS250" i="4"/>
  <c r="AS251" i="4"/>
  <c r="AS252" i="4"/>
  <c r="AS253" i="4"/>
  <c r="AS254" i="4"/>
  <c r="AS255" i="4"/>
  <c r="AS256" i="4"/>
  <c r="AS257" i="4"/>
  <c r="AS258" i="4"/>
  <c r="AS259" i="4"/>
  <c r="AS260" i="4"/>
  <c r="AS261" i="4"/>
  <c r="AS262" i="4"/>
  <c r="AS263" i="4"/>
  <c r="AS264" i="4"/>
  <c r="AS265" i="4"/>
  <c r="AS266" i="4"/>
  <c r="AS267" i="4"/>
  <c r="AS268" i="4"/>
  <c r="AS269" i="4"/>
  <c r="AS270" i="4"/>
  <c r="AS271" i="4"/>
  <c r="AS272" i="4"/>
  <c r="AS273" i="4"/>
  <c r="AS274" i="4"/>
  <c r="AS275" i="4"/>
  <c r="AS276" i="4"/>
  <c r="AS277" i="4"/>
  <c r="AS278" i="4"/>
  <c r="AS279" i="4"/>
  <c r="AS280" i="4"/>
  <c r="AS281" i="4"/>
  <c r="AS282" i="4"/>
  <c r="AS151" i="4"/>
  <c r="AR152" i="4"/>
  <c r="AR153" i="4"/>
  <c r="AR154" i="4"/>
  <c r="AR155" i="4"/>
  <c r="AR156" i="4"/>
  <c r="AR157" i="4"/>
  <c r="AR158" i="4"/>
  <c r="AR159" i="4"/>
  <c r="AR160" i="4"/>
  <c r="AR161" i="4"/>
  <c r="AR162" i="4"/>
  <c r="AR163" i="4"/>
  <c r="AR164" i="4"/>
  <c r="AR165" i="4"/>
  <c r="AR166" i="4"/>
  <c r="AR167" i="4"/>
  <c r="AR168" i="4"/>
  <c r="AR169" i="4"/>
  <c r="AR170" i="4"/>
  <c r="AR171" i="4"/>
  <c r="AR172" i="4"/>
  <c r="AR173" i="4"/>
  <c r="AR174" i="4"/>
  <c r="AR175" i="4"/>
  <c r="AR176" i="4"/>
  <c r="AR177" i="4"/>
  <c r="AR178" i="4"/>
  <c r="AR179" i="4"/>
  <c r="AR180" i="4"/>
  <c r="AR181" i="4"/>
  <c r="AR182" i="4"/>
  <c r="AR183" i="4"/>
  <c r="AR184" i="4"/>
  <c r="AR185" i="4"/>
  <c r="AR186" i="4"/>
  <c r="AR187" i="4"/>
  <c r="AR188" i="4"/>
  <c r="AR189" i="4"/>
  <c r="AR190" i="4"/>
  <c r="AR191" i="4"/>
  <c r="AR192" i="4"/>
  <c r="AR193" i="4"/>
  <c r="AR194" i="4"/>
  <c r="AR195" i="4"/>
  <c r="AR196" i="4"/>
  <c r="AR197" i="4"/>
  <c r="AR198" i="4"/>
  <c r="AR199" i="4"/>
  <c r="AR200" i="4"/>
  <c r="AR201" i="4"/>
  <c r="AR202" i="4"/>
  <c r="AR203" i="4"/>
  <c r="AR204" i="4"/>
  <c r="AR205" i="4"/>
  <c r="AR206" i="4"/>
  <c r="AR207" i="4"/>
  <c r="AR208" i="4"/>
  <c r="AR209" i="4"/>
  <c r="AR210" i="4"/>
  <c r="AR211" i="4"/>
  <c r="AR212" i="4"/>
  <c r="AR213" i="4"/>
  <c r="AR214" i="4"/>
  <c r="AR215" i="4"/>
  <c r="AR216" i="4"/>
  <c r="AR217" i="4"/>
  <c r="AR218" i="4"/>
  <c r="AR219" i="4"/>
  <c r="AR220" i="4"/>
  <c r="AR221" i="4"/>
  <c r="AR222" i="4"/>
  <c r="AR223" i="4"/>
  <c r="AR224" i="4"/>
  <c r="AR225" i="4"/>
  <c r="AR226" i="4"/>
  <c r="AR227" i="4"/>
  <c r="AR228" i="4"/>
  <c r="AR229" i="4"/>
  <c r="AR230" i="4"/>
  <c r="AR231" i="4"/>
  <c r="AR232" i="4"/>
  <c r="AR233" i="4"/>
  <c r="AR234" i="4"/>
  <c r="AR235" i="4"/>
  <c r="AR236" i="4"/>
  <c r="AR237" i="4"/>
  <c r="AR238" i="4"/>
  <c r="AR239" i="4"/>
  <c r="AR240" i="4"/>
  <c r="AR241" i="4"/>
  <c r="AR242" i="4"/>
  <c r="AR243" i="4"/>
  <c r="AR244" i="4"/>
  <c r="AR245" i="4"/>
  <c r="AR246" i="4"/>
  <c r="AR247" i="4"/>
  <c r="AR248" i="4"/>
  <c r="AR249" i="4"/>
  <c r="AR250" i="4"/>
  <c r="AR251" i="4"/>
  <c r="AR252" i="4"/>
  <c r="AR253" i="4"/>
  <c r="AR254" i="4"/>
  <c r="AR255" i="4"/>
  <c r="AR256" i="4"/>
  <c r="AR257" i="4"/>
  <c r="AR258" i="4"/>
  <c r="AR259" i="4"/>
  <c r="AR260" i="4"/>
  <c r="AR261" i="4"/>
  <c r="AR262" i="4"/>
  <c r="AR263" i="4"/>
  <c r="AR264" i="4"/>
  <c r="AR265" i="4"/>
  <c r="AR266" i="4"/>
  <c r="AR267" i="4"/>
  <c r="AR268" i="4"/>
  <c r="AR269" i="4"/>
  <c r="AR270" i="4"/>
  <c r="AR271" i="4"/>
  <c r="AR272" i="4"/>
  <c r="AR273" i="4"/>
  <c r="AR274" i="4"/>
  <c r="AR275" i="4"/>
  <c r="AR276" i="4"/>
  <c r="AR277" i="4"/>
  <c r="AR278" i="4"/>
  <c r="AR279" i="4"/>
  <c r="AR280" i="4"/>
  <c r="AR281" i="4"/>
  <c r="AR282" i="4"/>
  <c r="AQ151" i="4"/>
  <c r="AO151" i="4"/>
  <c r="AQ434" i="4"/>
  <c r="AQ435" i="4"/>
  <c r="AQ436" i="4"/>
  <c r="AQ437" i="4"/>
  <c r="AQ438" i="4"/>
  <c r="AQ439" i="4"/>
  <c r="AQ440" i="4"/>
  <c r="AQ441" i="4"/>
  <c r="AQ442" i="4"/>
  <c r="AQ443" i="4"/>
  <c r="AQ444" i="4"/>
  <c r="AQ445" i="4"/>
  <c r="AQ446" i="4"/>
  <c r="AQ447" i="4"/>
  <c r="AQ448" i="4"/>
  <c r="AQ449" i="4"/>
  <c r="AQ450" i="4"/>
  <c r="AQ451" i="4"/>
  <c r="AQ452" i="4"/>
  <c r="AQ453" i="4"/>
  <c r="AQ454" i="4"/>
  <c r="AQ455" i="4"/>
  <c r="AQ456" i="4"/>
  <c r="AQ457" i="4"/>
  <c r="AQ458" i="4"/>
  <c r="AQ459" i="4"/>
  <c r="AQ460" i="4"/>
  <c r="AQ461" i="4"/>
  <c r="AQ462" i="4"/>
  <c r="AQ463" i="4"/>
  <c r="AQ464" i="4"/>
  <c r="AQ465" i="4"/>
  <c r="AQ466" i="4"/>
  <c r="AQ467" i="4"/>
  <c r="AQ468" i="4"/>
  <c r="AQ469" i="4"/>
  <c r="AQ470" i="4"/>
  <c r="AQ471" i="4"/>
  <c r="AQ472" i="4"/>
  <c r="AQ473" i="4"/>
  <c r="AQ474" i="4"/>
  <c r="AQ475" i="4"/>
  <c r="AQ476" i="4"/>
  <c r="AQ477" i="4"/>
  <c r="AQ478" i="4"/>
  <c r="AQ479" i="4"/>
  <c r="AQ480" i="4"/>
  <c r="AQ481" i="4"/>
  <c r="AQ482" i="4"/>
  <c r="AQ483" i="4"/>
  <c r="AQ484" i="4"/>
  <c r="AQ485" i="4"/>
  <c r="AQ486" i="4"/>
  <c r="AQ487" i="4"/>
  <c r="AQ488" i="4"/>
  <c r="AQ489" i="4"/>
  <c r="AQ490" i="4"/>
  <c r="AQ491" i="4"/>
  <c r="AQ492" i="4"/>
  <c r="AQ493" i="4"/>
  <c r="AQ494" i="4"/>
  <c r="AQ495" i="4"/>
  <c r="AQ496" i="4"/>
  <c r="AQ497" i="4"/>
  <c r="AQ498" i="4"/>
  <c r="AQ499" i="4"/>
  <c r="AQ500" i="4"/>
  <c r="AQ501" i="4"/>
  <c r="AQ502" i="4"/>
  <c r="AQ503" i="4"/>
  <c r="AQ504" i="4"/>
  <c r="AQ505" i="4"/>
  <c r="AQ506" i="4"/>
  <c r="AQ507" i="4"/>
  <c r="AQ508" i="4"/>
  <c r="AQ509" i="4"/>
  <c r="AQ510" i="4"/>
  <c r="AQ511" i="4"/>
  <c r="AQ512" i="4"/>
  <c r="AQ513" i="4"/>
  <c r="AQ514" i="4"/>
  <c r="AQ515" i="4"/>
  <c r="AQ516" i="4"/>
  <c r="AQ517" i="4"/>
  <c r="AQ518" i="4"/>
  <c r="AQ519" i="4"/>
  <c r="AQ520" i="4"/>
  <c r="AQ521" i="4"/>
  <c r="AQ522" i="4"/>
  <c r="AQ523" i="4"/>
  <c r="AQ524" i="4"/>
  <c r="AQ525" i="4"/>
  <c r="AQ526" i="4"/>
  <c r="AQ527" i="4"/>
  <c r="AQ528" i="4"/>
  <c r="AQ529" i="4"/>
  <c r="AQ530" i="4"/>
  <c r="AQ531" i="4"/>
  <c r="AQ532" i="4"/>
  <c r="AQ533" i="4"/>
  <c r="AQ534" i="4"/>
  <c r="AQ535" i="4"/>
  <c r="AQ536" i="4"/>
  <c r="AQ537" i="4"/>
  <c r="AQ538" i="4"/>
  <c r="AQ539" i="4"/>
  <c r="AQ540" i="4"/>
  <c r="AQ541" i="4"/>
  <c r="AQ542" i="4"/>
  <c r="AQ543" i="4"/>
  <c r="AQ544" i="4"/>
  <c r="AQ545" i="4"/>
  <c r="AQ546" i="4"/>
  <c r="AQ547" i="4"/>
  <c r="AQ548" i="4"/>
  <c r="AQ549" i="4"/>
  <c r="AQ550" i="4"/>
  <c r="AQ551" i="4"/>
  <c r="AQ552" i="4"/>
  <c r="AQ553" i="4"/>
  <c r="AQ554" i="4"/>
  <c r="AQ555" i="4"/>
  <c r="AQ556" i="4"/>
  <c r="AQ557" i="4"/>
  <c r="AQ558" i="4"/>
  <c r="AQ559" i="4"/>
  <c r="AQ560" i="4"/>
  <c r="AQ561" i="4"/>
  <c r="AQ562" i="4"/>
  <c r="AQ563" i="4"/>
  <c r="AQ564" i="4"/>
  <c r="AQ433" i="4"/>
  <c r="AO434" i="4"/>
  <c r="AO435" i="4"/>
  <c r="AO436" i="4"/>
  <c r="AO437" i="4"/>
  <c r="AO438" i="4"/>
  <c r="AO439" i="4"/>
  <c r="AO440" i="4"/>
  <c r="AO441" i="4"/>
  <c r="AO442" i="4"/>
  <c r="AO443" i="4"/>
  <c r="AO444" i="4"/>
  <c r="AO445" i="4"/>
  <c r="AO446" i="4"/>
  <c r="AO447" i="4"/>
  <c r="AO448" i="4"/>
  <c r="AO449" i="4"/>
  <c r="AO450" i="4"/>
  <c r="AO451" i="4"/>
  <c r="AO452" i="4"/>
  <c r="AO453" i="4"/>
  <c r="AO454" i="4"/>
  <c r="AO455" i="4"/>
  <c r="AO456" i="4"/>
  <c r="AO457" i="4"/>
  <c r="AO458" i="4"/>
  <c r="AO459" i="4"/>
  <c r="AO460" i="4"/>
  <c r="AO461" i="4"/>
  <c r="AO462" i="4"/>
  <c r="AO463" i="4"/>
  <c r="AO464" i="4"/>
  <c r="AO465" i="4"/>
  <c r="AO466" i="4"/>
  <c r="AO467" i="4"/>
  <c r="AO468" i="4"/>
  <c r="AO469" i="4"/>
  <c r="AO470" i="4"/>
  <c r="AO471" i="4"/>
  <c r="AO472" i="4"/>
  <c r="AO473" i="4"/>
  <c r="AO474" i="4"/>
  <c r="AO475" i="4"/>
  <c r="AO476" i="4"/>
  <c r="AO477" i="4"/>
  <c r="AO478" i="4"/>
  <c r="AO479" i="4"/>
  <c r="AO480" i="4"/>
  <c r="AO481" i="4"/>
  <c r="AO482" i="4"/>
  <c r="AO483" i="4"/>
  <c r="AO484" i="4"/>
  <c r="AO485" i="4"/>
  <c r="AO486" i="4"/>
  <c r="AO487" i="4"/>
  <c r="AO488" i="4"/>
  <c r="AO489" i="4"/>
  <c r="AO490" i="4"/>
  <c r="AO491" i="4"/>
  <c r="AO492" i="4"/>
  <c r="AO493" i="4"/>
  <c r="AO494" i="4"/>
  <c r="AO495" i="4"/>
  <c r="AO496" i="4"/>
  <c r="AO497" i="4"/>
  <c r="AO498" i="4"/>
  <c r="AO499" i="4"/>
  <c r="AO500" i="4"/>
  <c r="AO501" i="4"/>
  <c r="AO502" i="4"/>
  <c r="AO503" i="4"/>
  <c r="AO504" i="4"/>
  <c r="AO505" i="4"/>
  <c r="AO506" i="4"/>
  <c r="AO507" i="4"/>
  <c r="AO508" i="4"/>
  <c r="AO509" i="4"/>
  <c r="AO510" i="4"/>
  <c r="AO511" i="4"/>
  <c r="AO512" i="4"/>
  <c r="AO513" i="4"/>
  <c r="AO514" i="4"/>
  <c r="AO515" i="4"/>
  <c r="AO516" i="4"/>
  <c r="AO517" i="4"/>
  <c r="AO518" i="4"/>
  <c r="AO519" i="4"/>
  <c r="AO520" i="4"/>
  <c r="AO521" i="4"/>
  <c r="AO522" i="4"/>
  <c r="AO523" i="4"/>
  <c r="AO524" i="4"/>
  <c r="AO525" i="4"/>
  <c r="AO526" i="4"/>
  <c r="AO527" i="4"/>
  <c r="AO528" i="4"/>
  <c r="AO529" i="4"/>
  <c r="AO530" i="4"/>
  <c r="AO531" i="4"/>
  <c r="AO532" i="4"/>
  <c r="AO533" i="4"/>
  <c r="AO534" i="4"/>
  <c r="AO535" i="4"/>
  <c r="AO536" i="4"/>
  <c r="AO537" i="4"/>
  <c r="AO538" i="4"/>
  <c r="AO539" i="4"/>
  <c r="AO540" i="4"/>
  <c r="AO541" i="4"/>
  <c r="AO542" i="4"/>
  <c r="AO543" i="4"/>
  <c r="AO544" i="4"/>
  <c r="AO545" i="4"/>
  <c r="AO546" i="4"/>
  <c r="AO547" i="4"/>
  <c r="AO548" i="4"/>
  <c r="AO549" i="4"/>
  <c r="AO550" i="4"/>
  <c r="AO551" i="4"/>
  <c r="AO552" i="4"/>
  <c r="AO553" i="4"/>
  <c r="AO554" i="4"/>
  <c r="AO555" i="4"/>
  <c r="AO556" i="4"/>
  <c r="AO557" i="4"/>
  <c r="AO558" i="4"/>
  <c r="AO559" i="4"/>
  <c r="AO560" i="4"/>
  <c r="AO561" i="4"/>
  <c r="AO562" i="4"/>
  <c r="AO563" i="4"/>
  <c r="AO564" i="4"/>
  <c r="AO433" i="4"/>
  <c r="AP434" i="4"/>
  <c r="AP435" i="4"/>
  <c r="AP436" i="4"/>
  <c r="AP437" i="4"/>
  <c r="AP438" i="4"/>
  <c r="AP439" i="4"/>
  <c r="AP440" i="4"/>
  <c r="AP441" i="4"/>
  <c r="AP442" i="4"/>
  <c r="AP443" i="4"/>
  <c r="AP444" i="4"/>
  <c r="AP445" i="4"/>
  <c r="AP446" i="4"/>
  <c r="AP447" i="4"/>
  <c r="AP448" i="4"/>
  <c r="AP449" i="4"/>
  <c r="AP450" i="4"/>
  <c r="AP451" i="4"/>
  <c r="AP452" i="4"/>
  <c r="AP453" i="4"/>
  <c r="AP454" i="4"/>
  <c r="AP455" i="4"/>
  <c r="AP456" i="4"/>
  <c r="AP457" i="4"/>
  <c r="AP458" i="4"/>
  <c r="AP459" i="4"/>
  <c r="AP460" i="4"/>
  <c r="AP461" i="4"/>
  <c r="AP462" i="4"/>
  <c r="AP463" i="4"/>
  <c r="AP464" i="4"/>
  <c r="AP465" i="4"/>
  <c r="AP466" i="4"/>
  <c r="AP467" i="4"/>
  <c r="AP468" i="4"/>
  <c r="AP469" i="4"/>
  <c r="AP470" i="4"/>
  <c r="AP471" i="4"/>
  <c r="AP472" i="4"/>
  <c r="AP473" i="4"/>
  <c r="AP474" i="4"/>
  <c r="AP475" i="4"/>
  <c r="AP476" i="4"/>
  <c r="AP477" i="4"/>
  <c r="AP478" i="4"/>
  <c r="AP479" i="4"/>
  <c r="AP480" i="4"/>
  <c r="AP481" i="4"/>
  <c r="AP482" i="4"/>
  <c r="AP483" i="4"/>
  <c r="AP484" i="4"/>
  <c r="AP485" i="4"/>
  <c r="AP486" i="4"/>
  <c r="AP487" i="4"/>
  <c r="AP488" i="4"/>
  <c r="AP489" i="4"/>
  <c r="AP490" i="4"/>
  <c r="AP491" i="4"/>
  <c r="AP492" i="4"/>
  <c r="AP493" i="4"/>
  <c r="AP494" i="4"/>
  <c r="AP495" i="4"/>
  <c r="AP496" i="4"/>
  <c r="AP497" i="4"/>
  <c r="AP498" i="4"/>
  <c r="AP499" i="4"/>
  <c r="AP500" i="4"/>
  <c r="AP501" i="4"/>
  <c r="AP502" i="4"/>
  <c r="AP503" i="4"/>
  <c r="AP504" i="4"/>
  <c r="AP505" i="4"/>
  <c r="AP506" i="4"/>
  <c r="AP507" i="4"/>
  <c r="AP508" i="4"/>
  <c r="AP509" i="4"/>
  <c r="AP510" i="4"/>
  <c r="AP511" i="4"/>
  <c r="AP512" i="4"/>
  <c r="AP513" i="4"/>
  <c r="AP514" i="4"/>
  <c r="AP515" i="4"/>
  <c r="AP516" i="4"/>
  <c r="AP517" i="4"/>
  <c r="AP518" i="4"/>
  <c r="AP519" i="4"/>
  <c r="AP520" i="4"/>
  <c r="AP521" i="4"/>
  <c r="AP522" i="4"/>
  <c r="AP523" i="4"/>
  <c r="AP524" i="4"/>
  <c r="AP525" i="4"/>
  <c r="AP526" i="4"/>
  <c r="AP527" i="4"/>
  <c r="AP528" i="4"/>
  <c r="AP529" i="4"/>
  <c r="AP530" i="4"/>
  <c r="AP531" i="4"/>
  <c r="AP532" i="4"/>
  <c r="AP533" i="4"/>
  <c r="AP534" i="4"/>
  <c r="AP535" i="4"/>
  <c r="AP536" i="4"/>
  <c r="AP537" i="4"/>
  <c r="AP538" i="4"/>
  <c r="AP539" i="4"/>
  <c r="AP540" i="4"/>
  <c r="AP541" i="4"/>
  <c r="AP542" i="4"/>
  <c r="AP543" i="4"/>
  <c r="AP544" i="4"/>
  <c r="AP545" i="4"/>
  <c r="AP546" i="4"/>
  <c r="AP547" i="4"/>
  <c r="AP548" i="4"/>
  <c r="AP549" i="4"/>
  <c r="AP550" i="4"/>
  <c r="AP551" i="4"/>
  <c r="AP552" i="4"/>
  <c r="AP553" i="4"/>
  <c r="AP554" i="4"/>
  <c r="AP555" i="4"/>
  <c r="AP556" i="4"/>
  <c r="AP557" i="4"/>
  <c r="AP558" i="4"/>
  <c r="AP559" i="4"/>
  <c r="AP560" i="4"/>
  <c r="AP561" i="4"/>
  <c r="AP562" i="4"/>
  <c r="AP563" i="4"/>
  <c r="AP564" i="4"/>
  <c r="AP433" i="4"/>
  <c r="AQ293" i="4"/>
  <c r="AQ294" i="4"/>
  <c r="AQ295" i="4"/>
  <c r="AQ296" i="4"/>
  <c r="AQ297" i="4"/>
  <c r="AQ298" i="4"/>
  <c r="AQ299" i="4"/>
  <c r="AQ300" i="4"/>
  <c r="AQ301" i="4"/>
  <c r="AQ302" i="4"/>
  <c r="AQ303" i="4"/>
  <c r="AQ304" i="4"/>
  <c r="AQ305" i="4"/>
  <c r="AQ306" i="4"/>
  <c r="AQ307" i="4"/>
  <c r="AQ308" i="4"/>
  <c r="AQ309" i="4"/>
  <c r="AQ310" i="4"/>
  <c r="AQ311" i="4"/>
  <c r="AQ312" i="4"/>
  <c r="AQ313" i="4"/>
  <c r="AQ314" i="4"/>
  <c r="AQ315" i="4"/>
  <c r="AQ316" i="4"/>
  <c r="AQ317" i="4"/>
  <c r="AQ318" i="4"/>
  <c r="AQ319" i="4"/>
  <c r="AQ320" i="4"/>
  <c r="AQ321" i="4"/>
  <c r="AQ322" i="4"/>
  <c r="AQ323" i="4"/>
  <c r="AQ324" i="4"/>
  <c r="AQ325" i="4"/>
  <c r="AQ326" i="4"/>
  <c r="AQ327" i="4"/>
  <c r="AQ328" i="4"/>
  <c r="AQ329" i="4"/>
  <c r="AQ330" i="4"/>
  <c r="AQ331" i="4"/>
  <c r="AQ332" i="4"/>
  <c r="AQ333" i="4"/>
  <c r="AQ334" i="4"/>
  <c r="AQ335" i="4"/>
  <c r="AQ336" i="4"/>
  <c r="AQ337" i="4"/>
  <c r="AQ338" i="4"/>
  <c r="AQ339" i="4"/>
  <c r="AQ340" i="4"/>
  <c r="AQ341" i="4"/>
  <c r="AQ342" i="4"/>
  <c r="AQ343" i="4"/>
  <c r="AQ344" i="4"/>
  <c r="AQ345" i="4"/>
  <c r="AQ346" i="4"/>
  <c r="AQ347" i="4"/>
  <c r="AQ348" i="4"/>
  <c r="AQ349" i="4"/>
  <c r="AQ350" i="4"/>
  <c r="AQ351" i="4"/>
  <c r="AQ352" i="4"/>
  <c r="AQ353" i="4"/>
  <c r="AQ354" i="4"/>
  <c r="AQ355" i="4"/>
  <c r="AQ356" i="4"/>
  <c r="AQ357" i="4"/>
  <c r="AQ358" i="4"/>
  <c r="AQ359" i="4"/>
  <c r="AQ360" i="4"/>
  <c r="AQ361" i="4"/>
  <c r="AQ362" i="4"/>
  <c r="AQ363" i="4"/>
  <c r="AQ364" i="4"/>
  <c r="AQ365" i="4"/>
  <c r="AQ366" i="4"/>
  <c r="AQ367" i="4"/>
  <c r="AQ368" i="4"/>
  <c r="AQ369" i="4"/>
  <c r="AQ370" i="4"/>
  <c r="AQ371" i="4"/>
  <c r="AQ372" i="4"/>
  <c r="AQ373" i="4"/>
  <c r="AQ374" i="4"/>
  <c r="AQ375" i="4"/>
  <c r="AQ376" i="4"/>
  <c r="AQ377" i="4"/>
  <c r="AQ378" i="4"/>
  <c r="AQ379" i="4"/>
  <c r="AQ380" i="4"/>
  <c r="AQ381" i="4"/>
  <c r="AQ382" i="4"/>
  <c r="AQ383" i="4"/>
  <c r="AQ384" i="4"/>
  <c r="AQ385" i="4"/>
  <c r="AQ386" i="4"/>
  <c r="AQ387" i="4"/>
  <c r="AQ388" i="4"/>
  <c r="AQ389" i="4"/>
  <c r="AQ390" i="4"/>
  <c r="AQ391" i="4"/>
  <c r="AQ392" i="4"/>
  <c r="AQ393" i="4"/>
  <c r="AQ394" i="4"/>
  <c r="AQ395" i="4"/>
  <c r="AQ396" i="4"/>
  <c r="AQ397" i="4"/>
  <c r="AQ398" i="4"/>
  <c r="AQ399" i="4"/>
  <c r="AQ400" i="4"/>
  <c r="AQ401" i="4"/>
  <c r="AQ402" i="4"/>
  <c r="AQ403" i="4"/>
  <c r="AQ404" i="4"/>
  <c r="AQ405" i="4"/>
  <c r="AQ406" i="4"/>
  <c r="AQ407" i="4"/>
  <c r="AQ408" i="4"/>
  <c r="AQ409" i="4"/>
  <c r="AQ410" i="4"/>
  <c r="AQ411" i="4"/>
  <c r="AQ412" i="4"/>
  <c r="AQ413" i="4"/>
  <c r="AQ414" i="4"/>
  <c r="AQ415" i="4"/>
  <c r="AQ416" i="4"/>
  <c r="AQ417" i="4"/>
  <c r="AQ418" i="4"/>
  <c r="AQ419" i="4"/>
  <c r="AQ420" i="4"/>
  <c r="AQ421" i="4"/>
  <c r="AQ422" i="4"/>
  <c r="AQ423" i="4"/>
  <c r="AQ292" i="4"/>
  <c r="AP293" i="4"/>
  <c r="AP294" i="4"/>
  <c r="AP295" i="4"/>
  <c r="AP296" i="4"/>
  <c r="AP297" i="4"/>
  <c r="AP298" i="4"/>
  <c r="AP299" i="4"/>
  <c r="AP300" i="4"/>
  <c r="AP301" i="4"/>
  <c r="AP302" i="4"/>
  <c r="AP303" i="4"/>
  <c r="AP304" i="4"/>
  <c r="AP305" i="4"/>
  <c r="AP306" i="4"/>
  <c r="AP307" i="4"/>
  <c r="AP308" i="4"/>
  <c r="AP309" i="4"/>
  <c r="AP310" i="4"/>
  <c r="AP311" i="4"/>
  <c r="AP312" i="4"/>
  <c r="AP313" i="4"/>
  <c r="AP314" i="4"/>
  <c r="AP315" i="4"/>
  <c r="AP316" i="4"/>
  <c r="AP317" i="4"/>
  <c r="AP318" i="4"/>
  <c r="AP319" i="4"/>
  <c r="AP320" i="4"/>
  <c r="AP321" i="4"/>
  <c r="AP322" i="4"/>
  <c r="AP323" i="4"/>
  <c r="AP324" i="4"/>
  <c r="AP325" i="4"/>
  <c r="AP326" i="4"/>
  <c r="AP327" i="4"/>
  <c r="AP328" i="4"/>
  <c r="AP329" i="4"/>
  <c r="AP330" i="4"/>
  <c r="AP331" i="4"/>
  <c r="AP332" i="4"/>
  <c r="AP333" i="4"/>
  <c r="AP334" i="4"/>
  <c r="AP335" i="4"/>
  <c r="AP336" i="4"/>
  <c r="AP337" i="4"/>
  <c r="AP338" i="4"/>
  <c r="AP339" i="4"/>
  <c r="AP340" i="4"/>
  <c r="AP341" i="4"/>
  <c r="AP342" i="4"/>
  <c r="AP343" i="4"/>
  <c r="AP344" i="4"/>
  <c r="AP345" i="4"/>
  <c r="AP346" i="4"/>
  <c r="AP347" i="4"/>
  <c r="AP348" i="4"/>
  <c r="AP349" i="4"/>
  <c r="AP350" i="4"/>
  <c r="AP351" i="4"/>
  <c r="AP352" i="4"/>
  <c r="AP353" i="4"/>
  <c r="AP354" i="4"/>
  <c r="AP355" i="4"/>
  <c r="AP356" i="4"/>
  <c r="AP357" i="4"/>
  <c r="AP358" i="4"/>
  <c r="AP359" i="4"/>
  <c r="AP360" i="4"/>
  <c r="AP361" i="4"/>
  <c r="AP362" i="4"/>
  <c r="AP363" i="4"/>
  <c r="AP364" i="4"/>
  <c r="AP365" i="4"/>
  <c r="AP366" i="4"/>
  <c r="AP367" i="4"/>
  <c r="AP368" i="4"/>
  <c r="AP369" i="4"/>
  <c r="AP370" i="4"/>
  <c r="AP371" i="4"/>
  <c r="AP372" i="4"/>
  <c r="AP373" i="4"/>
  <c r="AP374" i="4"/>
  <c r="AP375" i="4"/>
  <c r="AP376" i="4"/>
  <c r="AP377" i="4"/>
  <c r="AP378" i="4"/>
  <c r="AP379" i="4"/>
  <c r="AP380" i="4"/>
  <c r="AP381" i="4"/>
  <c r="AP382" i="4"/>
  <c r="AP383" i="4"/>
  <c r="AP384" i="4"/>
  <c r="AP385" i="4"/>
  <c r="AP386" i="4"/>
  <c r="AP387" i="4"/>
  <c r="AP388" i="4"/>
  <c r="AP389" i="4"/>
  <c r="AP390" i="4"/>
  <c r="AP391" i="4"/>
  <c r="AP392" i="4"/>
  <c r="AP393" i="4"/>
  <c r="AP394" i="4"/>
  <c r="AP395" i="4"/>
  <c r="AP396" i="4"/>
  <c r="AP397" i="4"/>
  <c r="AP398" i="4"/>
  <c r="AP399" i="4"/>
  <c r="AP400" i="4"/>
  <c r="AP401" i="4"/>
  <c r="AP402" i="4"/>
  <c r="AP403" i="4"/>
  <c r="AP404" i="4"/>
  <c r="AP405" i="4"/>
  <c r="AP406" i="4"/>
  <c r="AP407" i="4"/>
  <c r="AP408" i="4"/>
  <c r="AP409" i="4"/>
  <c r="AP410" i="4"/>
  <c r="AP411" i="4"/>
  <c r="AP412" i="4"/>
  <c r="AP413" i="4"/>
  <c r="AP414" i="4"/>
  <c r="AP415" i="4"/>
  <c r="AP416" i="4"/>
  <c r="AP417" i="4"/>
  <c r="AP418" i="4"/>
  <c r="AP419" i="4"/>
  <c r="AP420" i="4"/>
  <c r="AP421" i="4"/>
  <c r="AP422" i="4"/>
  <c r="AP423" i="4"/>
  <c r="AP292" i="4"/>
  <c r="AO293" i="4"/>
  <c r="AO294" i="4"/>
  <c r="AO295" i="4"/>
  <c r="AO296" i="4"/>
  <c r="AO297" i="4"/>
  <c r="AO298" i="4"/>
  <c r="AO299" i="4"/>
  <c r="AO300" i="4"/>
  <c r="AO301" i="4"/>
  <c r="AO302" i="4"/>
  <c r="AO303" i="4"/>
  <c r="AO304" i="4"/>
  <c r="AO305" i="4"/>
  <c r="AO306" i="4"/>
  <c r="AO307" i="4"/>
  <c r="AO308" i="4"/>
  <c r="AO309" i="4"/>
  <c r="AO310" i="4"/>
  <c r="AO311" i="4"/>
  <c r="AO312" i="4"/>
  <c r="AO313" i="4"/>
  <c r="AO314" i="4"/>
  <c r="AO315" i="4"/>
  <c r="AO316" i="4"/>
  <c r="AO317" i="4"/>
  <c r="AO318" i="4"/>
  <c r="AO319" i="4"/>
  <c r="AO320" i="4"/>
  <c r="AO321" i="4"/>
  <c r="AO322" i="4"/>
  <c r="AO323" i="4"/>
  <c r="AO324" i="4"/>
  <c r="AO325" i="4"/>
  <c r="AO326" i="4"/>
  <c r="AO327" i="4"/>
  <c r="AO328" i="4"/>
  <c r="AO329" i="4"/>
  <c r="AO330" i="4"/>
  <c r="AO331" i="4"/>
  <c r="AO332" i="4"/>
  <c r="AO333" i="4"/>
  <c r="AO334" i="4"/>
  <c r="AO335" i="4"/>
  <c r="AO336" i="4"/>
  <c r="AO337" i="4"/>
  <c r="AO338" i="4"/>
  <c r="AO339" i="4"/>
  <c r="AO340" i="4"/>
  <c r="AO341" i="4"/>
  <c r="AO342" i="4"/>
  <c r="AO343" i="4"/>
  <c r="AO344" i="4"/>
  <c r="AO345" i="4"/>
  <c r="AO346" i="4"/>
  <c r="AO347" i="4"/>
  <c r="AO348" i="4"/>
  <c r="AO349" i="4"/>
  <c r="AO350" i="4"/>
  <c r="AO351" i="4"/>
  <c r="AO352" i="4"/>
  <c r="AO353" i="4"/>
  <c r="AO354" i="4"/>
  <c r="AO355" i="4"/>
  <c r="AO356" i="4"/>
  <c r="AO357" i="4"/>
  <c r="AO358" i="4"/>
  <c r="AO359" i="4"/>
  <c r="AO360" i="4"/>
  <c r="AO361" i="4"/>
  <c r="AO362" i="4"/>
  <c r="AO363" i="4"/>
  <c r="AO364" i="4"/>
  <c r="AO365" i="4"/>
  <c r="AO366" i="4"/>
  <c r="AO367" i="4"/>
  <c r="AO368" i="4"/>
  <c r="AO369" i="4"/>
  <c r="AO370" i="4"/>
  <c r="AO371" i="4"/>
  <c r="AO372" i="4"/>
  <c r="AO373" i="4"/>
  <c r="AO374" i="4"/>
  <c r="AO375" i="4"/>
  <c r="AO376" i="4"/>
  <c r="AO377" i="4"/>
  <c r="AO378" i="4"/>
  <c r="AO379" i="4"/>
  <c r="AO380" i="4"/>
  <c r="AO381" i="4"/>
  <c r="AO382" i="4"/>
  <c r="AO383" i="4"/>
  <c r="AO384" i="4"/>
  <c r="AO385" i="4"/>
  <c r="AO386" i="4"/>
  <c r="AO387" i="4"/>
  <c r="AO388" i="4"/>
  <c r="AO389" i="4"/>
  <c r="AO390" i="4"/>
  <c r="AO391" i="4"/>
  <c r="AO392" i="4"/>
  <c r="AO393" i="4"/>
  <c r="AO394" i="4"/>
  <c r="AO395" i="4"/>
  <c r="AO396" i="4"/>
  <c r="AO397" i="4"/>
  <c r="AO398" i="4"/>
  <c r="AO399" i="4"/>
  <c r="AO400" i="4"/>
  <c r="AO401" i="4"/>
  <c r="AO402" i="4"/>
  <c r="AO403" i="4"/>
  <c r="AO404" i="4"/>
  <c r="AO405" i="4"/>
  <c r="AO406" i="4"/>
  <c r="AO407" i="4"/>
  <c r="AO408" i="4"/>
  <c r="AO409" i="4"/>
  <c r="AO410" i="4"/>
  <c r="AO411" i="4"/>
  <c r="AO412" i="4"/>
  <c r="AO413" i="4"/>
  <c r="AO414" i="4"/>
  <c r="AO415" i="4"/>
  <c r="AO416" i="4"/>
  <c r="AO417" i="4"/>
  <c r="AO418" i="4"/>
  <c r="AO419" i="4"/>
  <c r="AO420" i="4"/>
  <c r="AO421" i="4"/>
  <c r="AO422" i="4"/>
  <c r="AO423" i="4"/>
  <c r="AO292" i="4"/>
  <c r="AN152" i="4"/>
  <c r="AN153" i="4"/>
  <c r="AN154" i="4"/>
  <c r="AN155" i="4"/>
  <c r="AN156" i="4"/>
  <c r="AN157" i="4"/>
  <c r="AN159" i="4"/>
  <c r="AN160" i="4"/>
  <c r="AN161" i="4"/>
  <c r="AN162" i="4"/>
  <c r="AN163" i="4"/>
  <c r="AN164" i="4"/>
  <c r="AN165" i="4"/>
  <c r="AN166" i="4"/>
  <c r="AN167" i="4"/>
  <c r="AN168" i="4"/>
  <c r="AN169" i="4"/>
  <c r="AN170" i="4"/>
  <c r="AN171" i="4"/>
  <c r="AN172" i="4"/>
  <c r="AN173" i="4"/>
  <c r="AN174" i="4"/>
  <c r="AN175" i="4"/>
  <c r="AN176" i="4"/>
  <c r="AN177" i="4"/>
  <c r="AN178" i="4"/>
  <c r="AN179" i="4"/>
  <c r="AN180" i="4"/>
  <c r="AN181" i="4"/>
  <c r="AN182" i="4"/>
  <c r="AN183" i="4"/>
  <c r="AN184" i="4"/>
  <c r="AN185" i="4"/>
  <c r="AN186" i="4"/>
  <c r="AN187" i="4"/>
  <c r="AN188" i="4"/>
  <c r="AN189" i="4"/>
  <c r="AN190" i="4"/>
  <c r="AN191" i="4"/>
  <c r="AN192" i="4"/>
  <c r="AN193" i="4"/>
  <c r="AN194" i="4"/>
  <c r="AN195" i="4"/>
  <c r="AN196" i="4"/>
  <c r="AN197" i="4"/>
  <c r="AN198" i="4"/>
  <c r="AN199" i="4"/>
  <c r="AN200" i="4"/>
  <c r="AN201" i="4"/>
  <c r="AN202" i="4"/>
  <c r="AN203" i="4"/>
  <c r="AN204" i="4"/>
  <c r="AN205" i="4"/>
  <c r="AN206" i="4"/>
  <c r="AN207" i="4"/>
  <c r="AN208" i="4"/>
  <c r="AN209" i="4"/>
  <c r="AN210" i="4"/>
  <c r="AN211" i="4"/>
  <c r="AN212" i="4"/>
  <c r="AN213" i="4"/>
  <c r="AN214" i="4"/>
  <c r="AN215" i="4"/>
  <c r="AN216" i="4"/>
  <c r="AN217" i="4"/>
  <c r="AN218" i="4"/>
  <c r="AN219" i="4"/>
  <c r="AN220" i="4"/>
  <c r="AN221" i="4"/>
  <c r="AN222" i="4"/>
  <c r="AN223" i="4"/>
  <c r="AN224" i="4"/>
  <c r="AN225" i="4"/>
  <c r="AN226" i="4"/>
  <c r="AN227" i="4"/>
  <c r="AN228" i="4"/>
  <c r="AN229" i="4"/>
  <c r="AN230" i="4"/>
  <c r="AN231" i="4"/>
  <c r="AN232" i="4"/>
  <c r="AN233" i="4"/>
  <c r="AN234" i="4"/>
  <c r="AN235" i="4"/>
  <c r="AN236" i="4"/>
  <c r="AN237" i="4"/>
  <c r="AN238" i="4"/>
  <c r="AN239" i="4"/>
  <c r="AN240" i="4"/>
  <c r="AN241" i="4"/>
  <c r="AN242" i="4"/>
  <c r="AN243" i="4"/>
  <c r="AN244" i="4"/>
  <c r="AN245" i="4"/>
  <c r="AN246" i="4"/>
  <c r="AN247" i="4"/>
  <c r="AN248" i="4"/>
  <c r="AN249" i="4"/>
  <c r="AN250" i="4"/>
  <c r="AN251" i="4"/>
  <c r="AN252" i="4"/>
  <c r="AN253" i="4"/>
  <c r="AN254" i="4"/>
  <c r="AN255" i="4"/>
  <c r="AN256" i="4"/>
  <c r="AN257" i="4"/>
  <c r="AN258" i="4"/>
  <c r="AN259" i="4"/>
  <c r="AN260" i="4"/>
  <c r="AN261" i="4"/>
  <c r="AN262" i="4"/>
  <c r="AN263" i="4"/>
  <c r="AN264" i="4"/>
  <c r="AN265" i="4"/>
  <c r="AN266" i="4"/>
  <c r="AN267" i="4"/>
  <c r="AN268" i="4"/>
  <c r="AN269" i="4"/>
  <c r="AN270" i="4"/>
  <c r="AN271" i="4"/>
  <c r="AN272" i="4"/>
  <c r="AN273" i="4"/>
  <c r="AN274" i="4"/>
  <c r="AN275" i="4"/>
  <c r="AN276" i="4"/>
  <c r="AN277" i="4"/>
  <c r="AN278" i="4"/>
  <c r="AN279" i="4"/>
  <c r="AN280" i="4"/>
  <c r="AN281" i="4"/>
  <c r="AN282" i="4"/>
  <c r="AO152" i="4"/>
  <c r="AO153" i="4"/>
  <c r="AO154" i="4"/>
  <c r="AO155" i="4"/>
  <c r="AO156" i="4"/>
  <c r="AO157" i="4"/>
  <c r="AO158" i="4"/>
  <c r="AO159" i="4"/>
  <c r="AO160" i="4"/>
  <c r="AO161" i="4"/>
  <c r="AO162" i="4"/>
  <c r="AO163" i="4"/>
  <c r="AO164" i="4"/>
  <c r="AO165" i="4"/>
  <c r="AO166" i="4"/>
  <c r="AO167" i="4"/>
  <c r="AO168" i="4"/>
  <c r="AO169" i="4"/>
  <c r="AO170" i="4"/>
  <c r="AO171" i="4"/>
  <c r="AO172" i="4"/>
  <c r="AO173" i="4"/>
  <c r="AO174" i="4"/>
  <c r="AO175" i="4"/>
  <c r="AO176" i="4"/>
  <c r="AO177" i="4"/>
  <c r="AO178" i="4"/>
  <c r="AO179" i="4"/>
  <c r="AO180" i="4"/>
  <c r="AO181" i="4"/>
  <c r="AO182" i="4"/>
  <c r="AO183" i="4"/>
  <c r="AO184" i="4"/>
  <c r="AO185" i="4"/>
  <c r="AO186" i="4"/>
  <c r="AO187" i="4"/>
  <c r="AO188" i="4"/>
  <c r="AO189" i="4"/>
  <c r="AO190" i="4"/>
  <c r="AO191" i="4"/>
  <c r="AO192" i="4"/>
  <c r="AO193" i="4"/>
  <c r="AO194" i="4"/>
  <c r="AO195" i="4"/>
  <c r="AO196" i="4"/>
  <c r="AO197" i="4"/>
  <c r="AO198" i="4"/>
  <c r="AO199" i="4"/>
  <c r="AO200" i="4"/>
  <c r="AO201" i="4"/>
  <c r="AO202" i="4"/>
  <c r="AO203" i="4"/>
  <c r="AO204" i="4"/>
  <c r="AO205" i="4"/>
  <c r="AO206" i="4"/>
  <c r="AO207" i="4"/>
  <c r="AO208" i="4"/>
  <c r="AO209" i="4"/>
  <c r="AO210" i="4"/>
  <c r="AO211" i="4"/>
  <c r="AO212" i="4"/>
  <c r="AO213" i="4"/>
  <c r="AO214" i="4"/>
  <c r="AO215" i="4"/>
  <c r="AO216" i="4"/>
  <c r="AO217" i="4"/>
  <c r="AO218" i="4"/>
  <c r="AO219" i="4"/>
  <c r="AO220" i="4"/>
  <c r="AO221" i="4"/>
  <c r="AO222" i="4"/>
  <c r="AO223" i="4"/>
  <c r="AO224" i="4"/>
  <c r="AO225" i="4"/>
  <c r="AO226" i="4"/>
  <c r="AO227" i="4"/>
  <c r="AO228" i="4"/>
  <c r="AO229" i="4"/>
  <c r="AO230" i="4"/>
  <c r="AO231" i="4"/>
  <c r="AO232" i="4"/>
  <c r="AO233" i="4"/>
  <c r="AO234" i="4"/>
  <c r="AO235" i="4"/>
  <c r="AO236" i="4"/>
  <c r="AO237" i="4"/>
  <c r="AO238" i="4"/>
  <c r="AO239" i="4"/>
  <c r="AO240" i="4"/>
  <c r="AO241" i="4"/>
  <c r="AO242" i="4"/>
  <c r="AO243" i="4"/>
  <c r="AO244" i="4"/>
  <c r="AO245" i="4"/>
  <c r="AO246" i="4"/>
  <c r="AO247" i="4"/>
  <c r="AO248" i="4"/>
  <c r="AO249" i="4"/>
  <c r="AO250" i="4"/>
  <c r="AO251" i="4"/>
  <c r="AO252" i="4"/>
  <c r="AO253" i="4"/>
  <c r="AO254" i="4"/>
  <c r="AO255" i="4"/>
  <c r="AO256" i="4"/>
  <c r="AO257" i="4"/>
  <c r="AO258" i="4"/>
  <c r="AO259" i="4"/>
  <c r="AO260" i="4"/>
  <c r="AO261" i="4"/>
  <c r="AO262" i="4"/>
  <c r="AO263" i="4"/>
  <c r="AO264" i="4"/>
  <c r="AO265" i="4"/>
  <c r="AO266" i="4"/>
  <c r="AO267" i="4"/>
  <c r="AO268" i="4"/>
  <c r="AO269" i="4"/>
  <c r="AO270" i="4"/>
  <c r="AO271" i="4"/>
  <c r="AO272" i="4"/>
  <c r="AO273" i="4"/>
  <c r="AO274" i="4"/>
  <c r="AO275" i="4"/>
  <c r="AO276" i="4"/>
  <c r="AO277" i="4"/>
  <c r="AO278" i="4"/>
  <c r="AO279" i="4"/>
  <c r="AO280" i="4"/>
  <c r="AO281" i="4"/>
  <c r="AO282" i="4"/>
  <c r="AP152" i="4"/>
  <c r="AP153" i="4"/>
  <c r="AP154" i="4"/>
  <c r="AP155" i="4"/>
  <c r="AP156" i="4"/>
  <c r="AP157" i="4"/>
  <c r="AP158" i="4"/>
  <c r="AP159" i="4"/>
  <c r="AP160" i="4"/>
  <c r="AP161" i="4"/>
  <c r="AP162" i="4"/>
  <c r="AP163" i="4"/>
  <c r="AP164" i="4"/>
  <c r="AP165" i="4"/>
  <c r="AP166" i="4"/>
  <c r="AP167" i="4"/>
  <c r="AP168" i="4"/>
  <c r="AP169" i="4"/>
  <c r="AP170" i="4"/>
  <c r="AP171" i="4"/>
  <c r="AP172" i="4"/>
  <c r="AP173" i="4"/>
  <c r="AP174" i="4"/>
  <c r="AP175" i="4"/>
  <c r="AP176" i="4"/>
  <c r="AP177" i="4"/>
  <c r="AP178" i="4"/>
  <c r="AP179" i="4"/>
  <c r="AP180" i="4"/>
  <c r="AP181" i="4"/>
  <c r="AP182" i="4"/>
  <c r="AP183" i="4"/>
  <c r="AP184" i="4"/>
  <c r="AP185" i="4"/>
  <c r="AP186" i="4"/>
  <c r="AP187" i="4"/>
  <c r="AP188" i="4"/>
  <c r="AP189" i="4"/>
  <c r="AP190" i="4"/>
  <c r="AP191" i="4"/>
  <c r="AP192" i="4"/>
  <c r="AP193" i="4"/>
  <c r="AP194" i="4"/>
  <c r="AP195" i="4"/>
  <c r="AP196" i="4"/>
  <c r="AP197" i="4"/>
  <c r="AP198" i="4"/>
  <c r="AP199" i="4"/>
  <c r="AP200" i="4"/>
  <c r="AP201" i="4"/>
  <c r="AP202" i="4"/>
  <c r="AP203" i="4"/>
  <c r="AP204" i="4"/>
  <c r="AP205" i="4"/>
  <c r="AP206" i="4"/>
  <c r="AP207" i="4"/>
  <c r="AP208" i="4"/>
  <c r="AP209" i="4"/>
  <c r="AP210" i="4"/>
  <c r="AP211" i="4"/>
  <c r="AP212" i="4"/>
  <c r="AP213" i="4"/>
  <c r="AP214" i="4"/>
  <c r="AP215" i="4"/>
  <c r="AP216" i="4"/>
  <c r="AP217" i="4"/>
  <c r="AP218" i="4"/>
  <c r="AP219" i="4"/>
  <c r="AP220" i="4"/>
  <c r="AP221" i="4"/>
  <c r="AP222" i="4"/>
  <c r="AP223" i="4"/>
  <c r="AP224" i="4"/>
  <c r="AP225" i="4"/>
  <c r="AP226" i="4"/>
  <c r="AP227" i="4"/>
  <c r="AP228" i="4"/>
  <c r="AP229" i="4"/>
  <c r="AP230" i="4"/>
  <c r="AP231" i="4"/>
  <c r="AP232" i="4"/>
  <c r="AP233" i="4"/>
  <c r="AP234" i="4"/>
  <c r="AP235" i="4"/>
  <c r="AP236" i="4"/>
  <c r="AP237" i="4"/>
  <c r="AP238" i="4"/>
  <c r="AP239" i="4"/>
  <c r="AP240" i="4"/>
  <c r="AP241" i="4"/>
  <c r="AP242" i="4"/>
  <c r="AP243" i="4"/>
  <c r="AP244" i="4"/>
  <c r="AP245" i="4"/>
  <c r="AP246" i="4"/>
  <c r="AP247" i="4"/>
  <c r="AP248" i="4"/>
  <c r="AP249" i="4"/>
  <c r="AP250" i="4"/>
  <c r="AP251" i="4"/>
  <c r="AP252" i="4"/>
  <c r="AP253" i="4"/>
  <c r="AP254" i="4"/>
  <c r="AP255" i="4"/>
  <c r="AP256" i="4"/>
  <c r="AP257" i="4"/>
  <c r="AP258" i="4"/>
  <c r="AP259" i="4"/>
  <c r="AP260" i="4"/>
  <c r="AP261" i="4"/>
  <c r="AP262" i="4"/>
  <c r="AP263" i="4"/>
  <c r="AP264" i="4"/>
  <c r="AP265" i="4"/>
  <c r="AP266" i="4"/>
  <c r="AP267" i="4"/>
  <c r="AP268" i="4"/>
  <c r="AP269" i="4"/>
  <c r="AP270" i="4"/>
  <c r="AP271" i="4"/>
  <c r="AP272" i="4"/>
  <c r="AP273" i="4"/>
  <c r="AP274" i="4"/>
  <c r="AP275" i="4"/>
  <c r="AP276" i="4"/>
  <c r="AP277" i="4"/>
  <c r="AP278" i="4"/>
  <c r="AP279" i="4"/>
  <c r="AP280" i="4"/>
  <c r="AP281" i="4"/>
  <c r="AP282" i="4"/>
  <c r="AQ152" i="4"/>
  <c r="AQ153" i="4"/>
  <c r="AQ154" i="4"/>
  <c r="AQ155" i="4"/>
  <c r="AQ156" i="4"/>
  <c r="AQ157" i="4"/>
  <c r="AQ158" i="4"/>
  <c r="AQ159" i="4"/>
  <c r="AQ160" i="4"/>
  <c r="AQ161" i="4"/>
  <c r="AQ162" i="4"/>
  <c r="AQ163" i="4"/>
  <c r="AQ164" i="4"/>
  <c r="AQ165" i="4"/>
  <c r="AQ166" i="4"/>
  <c r="AQ167" i="4"/>
  <c r="AQ168" i="4"/>
  <c r="AQ169" i="4"/>
  <c r="AQ170" i="4"/>
  <c r="AQ171" i="4"/>
  <c r="AQ172" i="4"/>
  <c r="AQ173" i="4"/>
  <c r="AQ174" i="4"/>
  <c r="AQ175" i="4"/>
  <c r="AQ176" i="4"/>
  <c r="AQ177" i="4"/>
  <c r="AQ178" i="4"/>
  <c r="AQ179" i="4"/>
  <c r="AQ180" i="4"/>
  <c r="AQ181" i="4"/>
  <c r="AQ182" i="4"/>
  <c r="AQ183" i="4"/>
  <c r="AQ184" i="4"/>
  <c r="AQ185" i="4"/>
  <c r="AQ186" i="4"/>
  <c r="AQ187" i="4"/>
  <c r="AQ188" i="4"/>
  <c r="AQ189" i="4"/>
  <c r="AQ190" i="4"/>
  <c r="AQ191" i="4"/>
  <c r="AQ192" i="4"/>
  <c r="AQ193" i="4"/>
  <c r="AQ194" i="4"/>
  <c r="AQ195" i="4"/>
  <c r="AQ196" i="4"/>
  <c r="AQ197" i="4"/>
  <c r="AQ198" i="4"/>
  <c r="AQ199" i="4"/>
  <c r="AQ200" i="4"/>
  <c r="AQ201" i="4"/>
  <c r="AQ202" i="4"/>
  <c r="AQ203" i="4"/>
  <c r="AQ204" i="4"/>
  <c r="AQ205" i="4"/>
  <c r="AQ206" i="4"/>
  <c r="AQ207" i="4"/>
  <c r="AQ208" i="4"/>
  <c r="AQ209" i="4"/>
  <c r="AQ210" i="4"/>
  <c r="AQ211" i="4"/>
  <c r="AQ212" i="4"/>
  <c r="AQ213" i="4"/>
  <c r="AQ214" i="4"/>
  <c r="AQ215" i="4"/>
  <c r="AQ216" i="4"/>
  <c r="AQ217" i="4"/>
  <c r="AQ218" i="4"/>
  <c r="AQ219" i="4"/>
  <c r="AQ220" i="4"/>
  <c r="AQ221" i="4"/>
  <c r="AQ222" i="4"/>
  <c r="AQ223" i="4"/>
  <c r="AQ224" i="4"/>
  <c r="AQ225" i="4"/>
  <c r="AQ226" i="4"/>
  <c r="AQ227" i="4"/>
  <c r="AQ228" i="4"/>
  <c r="AQ229" i="4"/>
  <c r="AQ230" i="4"/>
  <c r="AQ231" i="4"/>
  <c r="AQ232" i="4"/>
  <c r="AQ233" i="4"/>
  <c r="AQ234" i="4"/>
  <c r="AQ235" i="4"/>
  <c r="AQ236" i="4"/>
  <c r="AQ237" i="4"/>
  <c r="AQ238" i="4"/>
  <c r="AQ239" i="4"/>
  <c r="AQ240" i="4"/>
  <c r="AQ241" i="4"/>
  <c r="AQ242" i="4"/>
  <c r="AQ243" i="4"/>
  <c r="AQ244" i="4"/>
  <c r="AQ245" i="4"/>
  <c r="AQ246" i="4"/>
  <c r="AQ247" i="4"/>
  <c r="AQ248" i="4"/>
  <c r="AQ249" i="4"/>
  <c r="AQ250" i="4"/>
  <c r="AQ251" i="4"/>
  <c r="AQ252" i="4"/>
  <c r="AQ253" i="4"/>
  <c r="AQ254" i="4"/>
  <c r="AQ255" i="4"/>
  <c r="AQ256" i="4"/>
  <c r="AQ257" i="4"/>
  <c r="AQ258" i="4"/>
  <c r="AQ259" i="4"/>
  <c r="AQ260" i="4"/>
  <c r="AQ261" i="4"/>
  <c r="AQ262" i="4"/>
  <c r="AQ263" i="4"/>
  <c r="AQ264" i="4"/>
  <c r="AQ265" i="4"/>
  <c r="AQ266" i="4"/>
  <c r="AQ267" i="4"/>
  <c r="AQ268" i="4"/>
  <c r="AQ269" i="4"/>
  <c r="AQ270" i="4"/>
  <c r="AQ271" i="4"/>
  <c r="AQ272" i="4"/>
  <c r="AQ273" i="4"/>
  <c r="AQ274" i="4"/>
  <c r="AQ275" i="4"/>
  <c r="AQ276" i="4"/>
  <c r="AQ277" i="4"/>
  <c r="AQ278" i="4"/>
  <c r="AQ279" i="4"/>
  <c r="AQ280" i="4"/>
  <c r="AQ281" i="4"/>
  <c r="AQ282" i="4"/>
  <c r="AP151" i="4"/>
  <c r="AZ432" i="4"/>
  <c r="AZ291" i="4"/>
  <c r="BP143" i="7"/>
  <c r="H255" i="1" s="1"/>
  <c r="BO143" i="7"/>
  <c r="G255" i="1" s="1"/>
  <c r="BN143" i="7"/>
  <c r="F255" i="1" s="1"/>
  <c r="BM143" i="7"/>
  <c r="E255" i="1" s="1"/>
  <c r="AP11" i="11"/>
  <c r="CU6" i="6"/>
  <c r="CU7" i="6" s="1"/>
  <c r="CU8" i="6" s="1"/>
  <c r="N145" i="1" s="1"/>
  <c r="CC144" i="6"/>
  <c r="F143" i="1" s="1"/>
  <c r="CD144" i="6"/>
  <c r="G143" i="1" s="1"/>
  <c r="BA8" i="6"/>
  <c r="AF143" i="6"/>
  <c r="G127" i="1" s="1"/>
  <c r="E8" i="6"/>
  <c r="E7" i="6"/>
  <c r="E6" i="6"/>
  <c r="AV6" i="6"/>
  <c r="AN297" i="4"/>
  <c r="AN433" i="4"/>
  <c r="AN434" i="4"/>
  <c r="AN435" i="4"/>
  <c r="AN436" i="4"/>
  <c r="AN437" i="4"/>
  <c r="AN438" i="4"/>
  <c r="AN439" i="4"/>
  <c r="AN440" i="4"/>
  <c r="AN441" i="4"/>
  <c r="AN442" i="4"/>
  <c r="AN443" i="4"/>
  <c r="AN444" i="4"/>
  <c r="AN445" i="4"/>
  <c r="AN446" i="4"/>
  <c r="AN447" i="4"/>
  <c r="AN448" i="4"/>
  <c r="AN449" i="4"/>
  <c r="AN450" i="4"/>
  <c r="AN451" i="4"/>
  <c r="AN452" i="4"/>
  <c r="AN453" i="4"/>
  <c r="AN454" i="4"/>
  <c r="AN455" i="4"/>
  <c r="AN456" i="4"/>
  <c r="AN457" i="4"/>
  <c r="AN458" i="4"/>
  <c r="AN459" i="4"/>
  <c r="AN460" i="4"/>
  <c r="AN461" i="4"/>
  <c r="AN462" i="4"/>
  <c r="AN463" i="4"/>
  <c r="AN464" i="4"/>
  <c r="AN465" i="4"/>
  <c r="AN466" i="4"/>
  <c r="AN467" i="4"/>
  <c r="AN468" i="4"/>
  <c r="AN469" i="4"/>
  <c r="AN470" i="4"/>
  <c r="AN471" i="4"/>
  <c r="AN472" i="4"/>
  <c r="AN473" i="4"/>
  <c r="AN474" i="4"/>
  <c r="AN475" i="4"/>
  <c r="AN476" i="4"/>
  <c r="AN477" i="4"/>
  <c r="AN478" i="4"/>
  <c r="AN479" i="4"/>
  <c r="AN480" i="4"/>
  <c r="AN481" i="4"/>
  <c r="AN482" i="4"/>
  <c r="AN483" i="4"/>
  <c r="AN484" i="4"/>
  <c r="AN485" i="4"/>
  <c r="AN486" i="4"/>
  <c r="AN487" i="4"/>
  <c r="AN488" i="4"/>
  <c r="AN489" i="4"/>
  <c r="AN490" i="4"/>
  <c r="AN491" i="4"/>
  <c r="AN492" i="4"/>
  <c r="AN493" i="4"/>
  <c r="AN494" i="4"/>
  <c r="AN495" i="4"/>
  <c r="AN496" i="4"/>
  <c r="AN497" i="4"/>
  <c r="AN498" i="4"/>
  <c r="AN499" i="4"/>
  <c r="AN500" i="4"/>
  <c r="AN501" i="4"/>
  <c r="AN502" i="4"/>
  <c r="AN503" i="4"/>
  <c r="AN504" i="4"/>
  <c r="AN505" i="4"/>
  <c r="AN506" i="4"/>
  <c r="AN507" i="4"/>
  <c r="AN508" i="4"/>
  <c r="AN509" i="4"/>
  <c r="AN510" i="4"/>
  <c r="AN511" i="4"/>
  <c r="AN512" i="4"/>
  <c r="AN513" i="4"/>
  <c r="AN514" i="4"/>
  <c r="AN515" i="4"/>
  <c r="AN516" i="4"/>
  <c r="AN517" i="4"/>
  <c r="AN518" i="4"/>
  <c r="AN519" i="4"/>
  <c r="AN520" i="4"/>
  <c r="AN521" i="4"/>
  <c r="AN522" i="4"/>
  <c r="AN523" i="4"/>
  <c r="AN524" i="4"/>
  <c r="AN525" i="4"/>
  <c r="AN526" i="4"/>
  <c r="AN527" i="4"/>
  <c r="AN528" i="4"/>
  <c r="AN529" i="4"/>
  <c r="AN530" i="4"/>
  <c r="AN531" i="4"/>
  <c r="AN532" i="4"/>
  <c r="AN533" i="4"/>
  <c r="AN534" i="4"/>
  <c r="AN535" i="4"/>
  <c r="AN536" i="4"/>
  <c r="AN537" i="4"/>
  <c r="AN538" i="4"/>
  <c r="AN539" i="4"/>
  <c r="AN540" i="4"/>
  <c r="AN541" i="4"/>
  <c r="AN542" i="4"/>
  <c r="AN543" i="4"/>
  <c r="AN544" i="4"/>
  <c r="AN545" i="4"/>
  <c r="AN546" i="4"/>
  <c r="AN547" i="4"/>
  <c r="AN548" i="4"/>
  <c r="AN549" i="4"/>
  <c r="AN550" i="4"/>
  <c r="AN551" i="4"/>
  <c r="AN552" i="4"/>
  <c r="AN553" i="4"/>
  <c r="AN554" i="4"/>
  <c r="AN555" i="4"/>
  <c r="AN556" i="4"/>
  <c r="AN557" i="4"/>
  <c r="AN558" i="4"/>
  <c r="AN559" i="4"/>
  <c r="AN560" i="4"/>
  <c r="AN561" i="4"/>
  <c r="AN562" i="4"/>
  <c r="AN563" i="4"/>
  <c r="AN564" i="4"/>
  <c r="AN335" i="4"/>
  <c r="AN415" i="4"/>
  <c r="AN414" i="4"/>
  <c r="AN413" i="4"/>
  <c r="AN412" i="4"/>
  <c r="AN410" i="4"/>
  <c r="AN354" i="4"/>
  <c r="AN293" i="4"/>
  <c r="AN294" i="4"/>
  <c r="AN295" i="4"/>
  <c r="AN296" i="4"/>
  <c r="AN298" i="4"/>
  <c r="AN299" i="4"/>
  <c r="AN300" i="4"/>
  <c r="AN301" i="4"/>
  <c r="AN302" i="4"/>
  <c r="AN303" i="4"/>
  <c r="AN304" i="4"/>
  <c r="AN305" i="4"/>
  <c r="AN306" i="4"/>
  <c r="AN307" i="4"/>
  <c r="AN308" i="4"/>
  <c r="AN309" i="4"/>
  <c r="AN310" i="4"/>
  <c r="AN311" i="4"/>
  <c r="AN312" i="4"/>
  <c r="AN313" i="4"/>
  <c r="AN314" i="4"/>
  <c r="AN315" i="4"/>
  <c r="AN316" i="4"/>
  <c r="AN317" i="4"/>
  <c r="AN318" i="4"/>
  <c r="AN319" i="4"/>
  <c r="AN320" i="4"/>
  <c r="AN321" i="4"/>
  <c r="AN322" i="4"/>
  <c r="AN323" i="4"/>
  <c r="AN324" i="4"/>
  <c r="AN325" i="4"/>
  <c r="AN326" i="4"/>
  <c r="AN327" i="4"/>
  <c r="AN328" i="4"/>
  <c r="AN329" i="4"/>
  <c r="AN330" i="4"/>
  <c r="AN331" i="4"/>
  <c r="AN332" i="4"/>
  <c r="AN333" i="4"/>
  <c r="AN334" i="4"/>
  <c r="AN336" i="4"/>
  <c r="AN337" i="4"/>
  <c r="AN338" i="4"/>
  <c r="AN339" i="4"/>
  <c r="AN340" i="4"/>
  <c r="AN341" i="4"/>
  <c r="AN342" i="4"/>
  <c r="AN343" i="4"/>
  <c r="AN344" i="4"/>
  <c r="AN345" i="4"/>
  <c r="AN346" i="4"/>
  <c r="AN347" i="4"/>
  <c r="AN348" i="4"/>
  <c r="AN349" i="4"/>
  <c r="AN350" i="4"/>
  <c r="AN351" i="4"/>
  <c r="AN352" i="4"/>
  <c r="AN353" i="4"/>
  <c r="AN355" i="4"/>
  <c r="AN356" i="4"/>
  <c r="AN357" i="4"/>
  <c r="AN358" i="4"/>
  <c r="AN359" i="4"/>
  <c r="AN360" i="4"/>
  <c r="AN361" i="4"/>
  <c r="AN362" i="4"/>
  <c r="AN363" i="4"/>
  <c r="AN364" i="4"/>
  <c r="AN365" i="4"/>
  <c r="AN366" i="4"/>
  <c r="AN367" i="4"/>
  <c r="AN368" i="4"/>
  <c r="AN369" i="4"/>
  <c r="AN370" i="4"/>
  <c r="AN371" i="4"/>
  <c r="AN372" i="4"/>
  <c r="AN373" i="4"/>
  <c r="AN374" i="4"/>
  <c r="AN375" i="4"/>
  <c r="AN376" i="4"/>
  <c r="AN377" i="4"/>
  <c r="AN378" i="4"/>
  <c r="AN379" i="4"/>
  <c r="AN380" i="4"/>
  <c r="AN381" i="4"/>
  <c r="AN382" i="4"/>
  <c r="AN383" i="4"/>
  <c r="AN384" i="4"/>
  <c r="AN385" i="4"/>
  <c r="AN386" i="4"/>
  <c r="AN387" i="4"/>
  <c r="AN388" i="4"/>
  <c r="AN389" i="4"/>
  <c r="AN390" i="4"/>
  <c r="AN391" i="4"/>
  <c r="AN392" i="4"/>
  <c r="AN393" i="4"/>
  <c r="AN394" i="4"/>
  <c r="AN395" i="4"/>
  <c r="AN396" i="4"/>
  <c r="AN397" i="4"/>
  <c r="AN398" i="4"/>
  <c r="AN399" i="4"/>
  <c r="AN400" i="4"/>
  <c r="AN401" i="4"/>
  <c r="AN402" i="4"/>
  <c r="AN403" i="4"/>
  <c r="AN404" i="4"/>
  <c r="AN405" i="4"/>
  <c r="AN406" i="4"/>
  <c r="AN407" i="4"/>
  <c r="AN408" i="4"/>
  <c r="AN409" i="4"/>
  <c r="AN411" i="4"/>
  <c r="AN416" i="4"/>
  <c r="AN417" i="4"/>
  <c r="AN418" i="4"/>
  <c r="AN419" i="4"/>
  <c r="AN420" i="4"/>
  <c r="AN421" i="4"/>
  <c r="AN422" i="4"/>
  <c r="AN423" i="4"/>
  <c r="AN292" i="4"/>
  <c r="BM8" i="12"/>
  <c r="BN8" i="12" s="1"/>
  <c r="BO8" i="12" s="1"/>
  <c r="N61" i="1" s="1"/>
  <c r="BM7" i="12"/>
  <c r="BN7" i="12" s="1"/>
  <c r="BO7" i="12" s="1"/>
  <c r="N47" i="1" s="1"/>
  <c r="BM6" i="12"/>
  <c r="BN6" i="12" s="1"/>
  <c r="BO6" i="12" s="1"/>
  <c r="R3" i="12"/>
  <c r="S3" i="12" s="1"/>
  <c r="T3" i="12" s="1"/>
  <c r="R5" i="12"/>
  <c r="S5" i="12" s="1"/>
  <c r="T5" i="12" s="1"/>
  <c r="R4" i="12"/>
  <c r="S4" i="12" s="1"/>
  <c r="T4" i="12" s="1"/>
  <c r="I6" i="12"/>
  <c r="I5" i="12"/>
  <c r="H5" i="12"/>
  <c r="G6" i="12"/>
  <c r="G5" i="12"/>
  <c r="AI6" i="3"/>
  <c r="AI5" i="3"/>
  <c r="AP143" i="6"/>
  <c r="Q223" i="1"/>
  <c r="Q224" i="1"/>
  <c r="Q227" i="1"/>
  <c r="Q229" i="1"/>
  <c r="Q90" i="1"/>
  <c r="Q89" i="1"/>
  <c r="Q228" i="1"/>
  <c r="BR143" i="7"/>
  <c r="J255" i="1" s="1"/>
  <c r="BS143" i="7"/>
  <c r="K255" i="1" s="1"/>
  <c r="L255" i="1"/>
  <c r="BU143" i="7"/>
  <c r="M255" i="1" s="1"/>
  <c r="BV143" i="7"/>
  <c r="N255" i="1" s="1"/>
  <c r="BW143" i="7"/>
  <c r="O255" i="1" s="1"/>
  <c r="BX143" i="7"/>
  <c r="P255" i="1"/>
  <c r="BY143" i="7"/>
  <c r="D255" i="1"/>
  <c r="Q246" i="1"/>
  <c r="Q247" i="1"/>
  <c r="Q248" i="1"/>
  <c r="Q251" i="1"/>
  <c r="Q252" i="1"/>
  <c r="Q253" i="1"/>
  <c r="Q234" i="1"/>
  <c r="Q235" i="1"/>
  <c r="Q236" i="1"/>
  <c r="Q239" i="1"/>
  <c r="Q240" i="1"/>
  <c r="Q241" i="1"/>
  <c r="Q210" i="1"/>
  <c r="Q211" i="1"/>
  <c r="Q212" i="1"/>
  <c r="Q215" i="1"/>
  <c r="Q216" i="1"/>
  <c r="AP8" i="11"/>
  <c r="AP9" i="11"/>
  <c r="AP10" i="11"/>
  <c r="AP12" i="11"/>
  <c r="AP13" i="11"/>
  <c r="AP14" i="11"/>
  <c r="AP15" i="11"/>
  <c r="AP16" i="11"/>
  <c r="AP17" i="11"/>
  <c r="AP18" i="11"/>
  <c r="AP19" i="11"/>
  <c r="AP20" i="11"/>
  <c r="AP7" i="11"/>
  <c r="AP6" i="11"/>
  <c r="E8" i="11"/>
  <c r="E14" i="11"/>
  <c r="E15" i="11"/>
  <c r="E16" i="11"/>
  <c r="E17" i="11"/>
  <c r="E18" i="11"/>
  <c r="E19" i="11"/>
  <c r="E20" i="11"/>
  <c r="Q186" i="1"/>
  <c r="Q187" i="1"/>
  <c r="Q188" i="1"/>
  <c r="Q191" i="1"/>
  <c r="Q192" i="1"/>
  <c r="Q193" i="1"/>
  <c r="Q217" i="1"/>
  <c r="AP20" i="10"/>
  <c r="AP8" i="10"/>
  <c r="AP9" i="10"/>
  <c r="AP10" i="10"/>
  <c r="AP11" i="10"/>
  <c r="AP12" i="10"/>
  <c r="AP13" i="10"/>
  <c r="AP14" i="10"/>
  <c r="AP15" i="10"/>
  <c r="AP16" i="10"/>
  <c r="AP17" i="10"/>
  <c r="AP18" i="10"/>
  <c r="AP19" i="10"/>
  <c r="AP7" i="10"/>
  <c r="AP6" i="10"/>
  <c r="E8" i="10"/>
  <c r="E9" i="10"/>
  <c r="E10" i="10"/>
  <c r="E11" i="10"/>
  <c r="E12" i="10"/>
  <c r="E13" i="10"/>
  <c r="E14" i="10"/>
  <c r="E15" i="10"/>
  <c r="E16" i="10"/>
  <c r="E17" i="10"/>
  <c r="E18" i="10"/>
  <c r="E19" i="10"/>
  <c r="E20" i="10"/>
  <c r="E7" i="10"/>
  <c r="E6" i="10"/>
  <c r="Q162" i="1"/>
  <c r="Q163" i="1"/>
  <c r="Q164" i="1"/>
  <c r="Q167" i="1"/>
  <c r="Q168" i="1"/>
  <c r="Q169" i="1"/>
  <c r="AQ20" i="8"/>
  <c r="AQ10" i="8"/>
  <c r="AQ11" i="8"/>
  <c r="AQ12" i="8"/>
  <c r="AQ13" i="8"/>
  <c r="AQ14" i="8"/>
  <c r="AQ15" i="8"/>
  <c r="AQ16" i="8"/>
  <c r="AQ17" i="8"/>
  <c r="AQ18" i="8"/>
  <c r="AQ19" i="8"/>
  <c r="AQ7" i="8"/>
  <c r="AQ6" i="8"/>
  <c r="AQ9" i="8"/>
  <c r="AQ8" i="8"/>
  <c r="Q150" i="1"/>
  <c r="Q151" i="1"/>
  <c r="Q152" i="1"/>
  <c r="Q155" i="1"/>
  <c r="Q156" i="1"/>
  <c r="Q157" i="1"/>
  <c r="F9" i="8"/>
  <c r="F7" i="8"/>
  <c r="F8" i="8"/>
  <c r="F10" i="8"/>
  <c r="F11" i="8"/>
  <c r="F12" i="8"/>
  <c r="F13" i="8"/>
  <c r="F14" i="8"/>
  <c r="F15" i="8"/>
  <c r="F16" i="8"/>
  <c r="F17" i="8"/>
  <c r="F18" i="8"/>
  <c r="F19" i="8"/>
  <c r="F20" i="8"/>
  <c r="CN144" i="6"/>
  <c r="Q143" i="1"/>
  <c r="CM144" i="6"/>
  <c r="P143" i="1"/>
  <c r="CL144" i="6"/>
  <c r="O143" i="1"/>
  <c r="CK144" i="6"/>
  <c r="N143" i="1" s="1"/>
  <c r="CJ144" i="6"/>
  <c r="M143" i="1" s="1"/>
  <c r="CI144" i="6"/>
  <c r="L143" i="1" s="1"/>
  <c r="CH144" i="6"/>
  <c r="K143" i="1"/>
  <c r="CG144" i="6"/>
  <c r="J143" i="1" s="1"/>
  <c r="I143" i="1"/>
  <c r="CE144" i="6"/>
  <c r="H143" i="1" s="1"/>
  <c r="E143" i="1"/>
  <c r="Q134" i="1"/>
  <c r="Q135" i="1"/>
  <c r="Q136" i="1"/>
  <c r="Q139" i="1"/>
  <c r="Q140" i="1"/>
  <c r="Q141" i="1"/>
  <c r="BA20" i="6"/>
  <c r="BA9" i="6"/>
  <c r="BA10" i="6"/>
  <c r="BA11" i="6"/>
  <c r="BA12" i="6"/>
  <c r="BA13" i="6"/>
  <c r="BA14" i="6"/>
  <c r="BA15" i="6"/>
  <c r="BA16" i="6"/>
  <c r="BA17" i="6"/>
  <c r="BA18" i="6"/>
  <c r="BA19" i="6"/>
  <c r="BA7" i="6"/>
  <c r="BA6" i="6"/>
  <c r="J127" i="1"/>
  <c r="K127" i="1"/>
  <c r="L127" i="1"/>
  <c r="P127" i="1"/>
  <c r="E127" i="1"/>
  <c r="Q125" i="1"/>
  <c r="Q124" i="1"/>
  <c r="Q123" i="1"/>
  <c r="Q120" i="1"/>
  <c r="Q119" i="1"/>
  <c r="Q118" i="1"/>
  <c r="E9" i="6"/>
  <c r="E10" i="6"/>
  <c r="E11" i="6"/>
  <c r="E12" i="6"/>
  <c r="E13" i="6"/>
  <c r="E14" i="6"/>
  <c r="E15" i="6"/>
  <c r="E16" i="6"/>
  <c r="E17" i="6"/>
  <c r="E18" i="6"/>
  <c r="E19" i="6"/>
  <c r="E20" i="6"/>
  <c r="Q71" i="1"/>
  <c r="Q70" i="1"/>
  <c r="Q66" i="1"/>
  <c r="Q67" i="1"/>
  <c r="Q65" i="1"/>
  <c r="F20" i="4"/>
  <c r="F7" i="4"/>
  <c r="F8" i="4"/>
  <c r="F9" i="4"/>
  <c r="F10" i="4"/>
  <c r="F11" i="4"/>
  <c r="F13" i="4"/>
  <c r="F14" i="4"/>
  <c r="F15" i="4"/>
  <c r="F16" i="4"/>
  <c r="F17" i="4"/>
  <c r="F18" i="4"/>
  <c r="F19" i="4"/>
  <c r="F6" i="4"/>
  <c r="Q59" i="1"/>
  <c r="Q57" i="1"/>
  <c r="Q54" i="1"/>
  <c r="Q53" i="1"/>
  <c r="Q52" i="1"/>
  <c r="Q44" i="1"/>
  <c r="Q43" i="1"/>
  <c r="Q40" i="1"/>
  <c r="Q39" i="1"/>
  <c r="Q38" i="1"/>
  <c r="Q45" i="1"/>
  <c r="Q31" i="1"/>
  <c r="Q30" i="1"/>
  <c r="Q29" i="1"/>
  <c r="Q26" i="1"/>
  <c r="Q25" i="1"/>
  <c r="Q24" i="1"/>
  <c r="Q111" i="1"/>
  <c r="Q100" i="1"/>
  <c r="Q113" i="1"/>
  <c r="Q102" i="1"/>
  <c r="Q95" i="1"/>
  <c r="Q106" i="1"/>
  <c r="Q107" i="1"/>
  <c r="Q96" i="1"/>
  <c r="Q97" i="1"/>
  <c r="Q108" i="1"/>
  <c r="Q112" i="1"/>
  <c r="Q101" i="1"/>
  <c r="Q72" i="1"/>
  <c r="Q58" i="1"/>
  <c r="G19" i="12"/>
  <c r="H19" i="12"/>
  <c r="I19" i="12"/>
  <c r="I8" i="12"/>
  <c r="I7" i="12"/>
  <c r="I9" i="12"/>
  <c r="I10" i="12"/>
  <c r="I11" i="12"/>
  <c r="I12" i="12"/>
  <c r="I13" i="12"/>
  <c r="I14" i="12"/>
  <c r="I15" i="12"/>
  <c r="I16" i="12"/>
  <c r="I17" i="12"/>
  <c r="I18" i="12"/>
  <c r="H12" i="12"/>
  <c r="H10" i="12"/>
  <c r="H9" i="12"/>
  <c r="H8" i="12"/>
  <c r="H7" i="12"/>
  <c r="H11" i="12"/>
  <c r="H13" i="12"/>
  <c r="H14" i="12"/>
  <c r="H15" i="12"/>
  <c r="H16" i="12"/>
  <c r="H17" i="12"/>
  <c r="H18" i="12"/>
  <c r="H6" i="12"/>
  <c r="G8" i="12"/>
  <c r="G7" i="12"/>
  <c r="G9" i="12"/>
  <c r="G10" i="12"/>
  <c r="G11" i="12"/>
  <c r="G12" i="12"/>
  <c r="G13" i="12"/>
  <c r="G14" i="12"/>
  <c r="G15" i="12"/>
  <c r="G16" i="12"/>
  <c r="G17" i="12"/>
  <c r="G18" i="12"/>
  <c r="Q13" i="1"/>
  <c r="Q15" i="1"/>
  <c r="Q14" i="1"/>
  <c r="Q10" i="1"/>
  <c r="Q88" i="1"/>
  <c r="Q85" i="1"/>
  <c r="Q84" i="1"/>
  <c r="Q83" i="1"/>
  <c r="AX150" i="4" l="1"/>
  <c r="O74" i="1" s="1"/>
  <c r="AM432" i="4"/>
  <c r="D78" i="1" s="1"/>
  <c r="AM291" i="4"/>
  <c r="D76" i="1" s="1"/>
  <c r="AM150" i="4"/>
  <c r="D74" i="1" s="1"/>
  <c r="AV432" i="4"/>
  <c r="M78" i="1" s="1"/>
  <c r="AW432" i="4"/>
  <c r="N78" i="1" s="1"/>
  <c r="AW291" i="4"/>
  <c r="N76" i="1" s="1"/>
  <c r="AW150" i="4"/>
  <c r="N74" i="1" s="1"/>
  <c r="AV291" i="4"/>
  <c r="M76" i="1" s="1"/>
  <c r="AV150" i="4"/>
  <c r="M74" i="1" s="1"/>
  <c r="AT150" i="4"/>
  <c r="K74" i="1" s="1"/>
  <c r="AI7" i="3"/>
  <c r="N19" i="1" s="1"/>
  <c r="L74" i="1"/>
  <c r="AU432" i="4"/>
  <c r="L78" i="1" s="1"/>
  <c r="AU291" i="4"/>
  <c r="L76" i="1" s="1"/>
  <c r="AT432" i="4"/>
  <c r="K78" i="1" s="1"/>
  <c r="AS291" i="4"/>
  <c r="J76" i="1" s="1"/>
  <c r="AT291" i="4"/>
  <c r="K76" i="1" s="1"/>
  <c r="AS150" i="4"/>
  <c r="J74" i="1" s="1"/>
  <c r="AP150" i="4"/>
  <c r="G74" i="1" s="1"/>
  <c r="AQ150" i="4"/>
  <c r="H74" i="1" s="1"/>
  <c r="AO150" i="4"/>
  <c r="F74" i="1" s="1"/>
  <c r="AO291" i="4"/>
  <c r="F76" i="1" s="1"/>
  <c r="AP291" i="4"/>
  <c r="G76" i="1" s="1"/>
  <c r="AS432" i="4"/>
  <c r="J78" i="1" s="1"/>
  <c r="AQ291" i="4"/>
  <c r="H76" i="1" s="1"/>
  <c r="AP432" i="4"/>
  <c r="G78" i="1" s="1"/>
  <c r="AO432" i="4"/>
  <c r="F78" i="1" s="1"/>
  <c r="AQ432" i="4"/>
  <c r="H78" i="1" s="1"/>
  <c r="AN291" i="4"/>
  <c r="E76" i="1" s="1"/>
  <c r="AN432" i="4"/>
  <c r="E78" i="1" s="1"/>
  <c r="AN150" i="4"/>
  <c r="E74" i="1" s="1"/>
  <c r="AV7" i="6"/>
  <c r="AV8" i="6" s="1"/>
  <c r="N129" i="1" s="1"/>
  <c r="N33" i="1"/>
  <c r="AR150" i="4"/>
  <c r="I74" i="1" s="1"/>
  <c r="AR291" i="4"/>
  <c r="I76" i="1" s="1"/>
  <c r="AR432" i="4"/>
  <c r="I78" i="1" s="1"/>
  <c r="N17" i="1"/>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PowerPivot Data"/>
    <s v="{[Winter daily sitreps].[Year].&amp;[2019/20]}"/>
  </metadataStrings>
  <mdxMetadata count="1">
    <mdx n="0" f="s">
      <ms ns="1" c="0"/>
    </mdx>
  </mdxMetadata>
  <valueMetadata count="1">
    <bk>
      <rc t="1" v="0"/>
    </bk>
  </valueMetadata>
</metadata>
</file>

<file path=xl/sharedStrings.xml><?xml version="1.0" encoding="utf-8"?>
<sst xmlns="http://schemas.openxmlformats.org/spreadsheetml/2006/main" count="3316" uniqueCount="440">
  <si>
    <t>Highest day</t>
  </si>
  <si>
    <t>London</t>
  </si>
  <si>
    <t>A&amp;E diverts</t>
  </si>
  <si>
    <t>Data notes</t>
  </si>
  <si>
    <t>G&amp;A bed occupancy</t>
  </si>
  <si>
    <t>No. trusts hit 100%</t>
  </si>
  <si>
    <t>No. trusts hit 85%</t>
  </si>
  <si>
    <t>No. trusts hit 95%</t>
  </si>
  <si>
    <t>Beds occ. by long stay</t>
  </si>
  <si>
    <t xml:space="preserve">   Over 7 days:</t>
  </si>
  <si>
    <t xml:space="preserve">   Over 21 days:</t>
  </si>
  <si>
    <t>Definition: The percentage of all open general and acute beds (core bed stock and escalation beds) that are occupied.</t>
  </si>
  <si>
    <t>D&amp;V, Norovirus</t>
  </si>
  <si>
    <t xml:space="preserve">    Beds closed:</t>
  </si>
  <si>
    <t xml:space="preserve">    Beds closed unoccupied:</t>
  </si>
  <si>
    <t>Adult critical care</t>
  </si>
  <si>
    <t>Paediatric intensive care</t>
  </si>
  <si>
    <t xml:space="preserve">    Occupancy rate:</t>
  </si>
  <si>
    <t xml:space="preserve">    No. beds available:</t>
  </si>
  <si>
    <t>Neonatal intensive care</t>
  </si>
  <si>
    <t xml:space="preserve">    Ambulance arrivals:</t>
  </si>
  <si>
    <t xml:space="preserve">   % delayed 30 mins or more:</t>
  </si>
  <si>
    <t xml:space="preserve">   % delayed 60 mins or more:</t>
  </si>
  <si>
    <t>No. of trusts with &gt;60 min delays</t>
  </si>
  <si>
    <t>Ambulance arrivals and delays</t>
  </si>
  <si>
    <t>No. days with zero diverts</t>
  </si>
  <si>
    <t>Definition: An A&amp;E divert is where new arrivals (e.g. ambulance arrivals) are being temporarily diverted to another hospital.</t>
  </si>
  <si>
    <t>Day with the most diverts</t>
  </si>
  <si>
    <t>Chart</t>
  </si>
  <si>
    <t>Definition: The number of beds closed to diarrhoea and vomiting/norovirus-like symptoms, and of those the number unoccupied.</t>
  </si>
  <si>
    <t>No. trusts with beds closed</t>
  </si>
  <si>
    <t>No. trusts with beds closed unocc.</t>
  </si>
  <si>
    <t>Definition: The number of adult critical care beds that are open and the percentage of those that are occupied.</t>
  </si>
  <si>
    <t>Definition: The number of paediatric intensive care beds that are open and the percentage of those that are occupied.</t>
  </si>
  <si>
    <t>Definition: The number of neonatal intensive care beds that are open and the percentage of those that are occupied.</t>
  </si>
  <si>
    <t>Definition: The number of patients arriving by ambulance. The number of ambulance handover delays between 30 and 60 minutes, and the number of delays over 60 minutes.</t>
  </si>
  <si>
    <t>Total</t>
  </si>
  <si>
    <t>Sum of AE diverts</t>
  </si>
  <si>
    <t>Row Labels</t>
  </si>
  <si>
    <t>1</t>
  </si>
  <si>
    <t>Grand Total</t>
  </si>
  <si>
    <t>Year</t>
  </si>
  <si>
    <t>All</t>
  </si>
  <si>
    <t>Column Labels</t>
  </si>
  <si>
    <t>Week 1</t>
  </si>
  <si>
    <t>Week 2</t>
  </si>
  <si>
    <t>Week 3</t>
  </si>
  <si>
    <t>Week 4</t>
  </si>
  <si>
    <t>Week 5</t>
  </si>
  <si>
    <t>Week 6</t>
  </si>
  <si>
    <t>Week 7</t>
  </si>
  <si>
    <t>Week 8</t>
  </si>
  <si>
    <t>Week 9</t>
  </si>
  <si>
    <t>Week 10</t>
  </si>
  <si>
    <t>Week 11</t>
  </si>
  <si>
    <t>Week 12</t>
  </si>
  <si>
    <t>Week 13</t>
  </si>
  <si>
    <t>Week 14</t>
  </si>
  <si>
    <t>Total Available</t>
  </si>
  <si>
    <t>Available</t>
  </si>
  <si>
    <t>Total Occupied</t>
  </si>
  <si>
    <t>Occupied</t>
  </si>
  <si>
    <t>Sum of Beds occ over 7 days</t>
  </si>
  <si>
    <t>Sum of Beds occ over 21 days</t>
  </si>
  <si>
    <t>Sum of Beds closed norovirus</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</si>
  <si>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</si>
  <si>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</si>
  <si>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</si>
  <si>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</si>
  <si>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</si>
  <si>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</si>
  <si>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</si>
  <si>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</si>
  <si>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</si>
  <si>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</si>
  <si>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</si>
  <si>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</si>
  <si>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</si>
  <si>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</si>
  <si>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</si>
  <si>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</si>
  <si>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</si>
  <si>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</si>
  <si>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</si>
  <si>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</si>
  <si>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</si>
  <si>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</si>
  <si>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</si>
  <si>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</si>
  <si>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</si>
  <si>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</si>
  <si>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</si>
  <si>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</si>
  <si>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</si>
  <si>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</si>
  <si>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</si>
  <si>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</si>
  <si>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</si>
  <si>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</si>
  <si>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</si>
  <si>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</si>
  <si>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</si>
  <si>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</si>
  <si>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</si>
  <si>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</si>
  <si>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</si>
  <si>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</si>
  <si>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</si>
  <si>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</si>
  <si>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</si>
  <si>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</si>
  <si>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</si>
  <si>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</si>
  <si>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</si>
  <si>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</si>
  <si>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</si>
  <si>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</si>
  <si>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</si>
  <si>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</si>
  <si>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</si>
  <si>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</si>
  <si>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NORFOLK AND NORWICH UNIVERSITY HOSPITALS NHS FOUNDATION TRUST</t>
  </si>
  <si>
    <t>NORTH BRISTOL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</si>
  <si>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</si>
  <si>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</si>
  <si>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</si>
  <si>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</si>
  <si>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</si>
  <si>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</si>
  <si>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</si>
  <si>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</si>
  <si>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</si>
  <si>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</si>
  <si>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</si>
  <si>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</si>
  <si>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ROYAL BERKSHIRE NHS FOUNDATION TRUST</t>
  </si>
  <si>
    <t>ROYAL CORNWALL HOSPITALS NHS TRUST</t>
  </si>
  <si>
    <t>ROYAL DEVON AND EXETER NHS FOUNDATION TRUST</t>
  </si>
  <si>
    <t>ROYAL FREE LONDON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</si>
  <si>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</si>
  <si>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</si>
  <si>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</si>
  <si>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</si>
  <si>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</si>
  <si>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</si>
  <si>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</si>
  <si>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</si>
  <si>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</si>
  <si>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</si>
  <si>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</si>
  <si>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</si>
  <si>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</si>
  <si>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</si>
  <si>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</si>
  <si>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</si>
  <si>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AND GLOSSOP INTEGRATED CARE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</si>
  <si>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</si>
  <si>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</si>
  <si>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</si>
  <si>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</si>
  <si>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</si>
  <si>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ROTHERHAM NHS FOUNDATION TRUST</t>
  </si>
  <si>
    <t>THE ROYAL BOURNEMOUTH AND CHRISTCHURCH HOSPITALS NHS FOUNDATION TRUST</t>
  </si>
  <si>
    <t>THE ROYAL WOLVERHAMPTON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</si>
  <si>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</si>
  <si>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</si>
  <si>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</si>
  <si>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</si>
  <si>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</si>
  <si>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</si>
  <si>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</si>
  <si>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</si>
  <si>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</si>
  <si>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</si>
  <si>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</si>
  <si>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</si>
  <si>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</si>
  <si>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</si>
  <si>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</si>
  <si>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</si>
  <si>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</si>
  <si>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</si>
  <si>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</si>
  <si>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</si>
  <si>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</si>
  <si>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</si>
  <si>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</si>
  <si>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Sum of Beds closed norovius unocc</t>
  </si>
  <si>
    <t>Sum of Amb arrivals</t>
  </si>
  <si>
    <t>Total 30-60 mins</t>
  </si>
  <si>
    <t>30-60 mins</t>
  </si>
  <si>
    <t>Total over 60 mins</t>
  </si>
  <si>
    <t>over 60 mins</t>
  </si>
  <si>
    <t>Total Sum of Amb arrivals</t>
  </si>
  <si>
    <t>Total Avail</t>
  </si>
  <si>
    <t>Avail</t>
  </si>
  <si>
    <t>Total Occ</t>
  </si>
  <si>
    <t>Occ</t>
  </si>
  <si>
    <t>Sum of Paed Int Care Avail</t>
  </si>
  <si>
    <t>Sum of Paed Int Care Occ</t>
  </si>
  <si>
    <t>Total Sum of Paed Int Care Avail</t>
  </si>
  <si>
    <t>Total Sum of Paed Int Care Occ</t>
  </si>
  <si>
    <t>Sum of Amb delays over 60 mins</t>
  </si>
  <si>
    <t>Sum of Neo Int Care Avail</t>
  </si>
  <si>
    <t>Sum of Neo Int Care occ</t>
  </si>
  <si>
    <t>Total Sum of Neo Int Care Avail</t>
  </si>
  <si>
    <t>Total Sum of Neo Int Care occ</t>
  </si>
  <si>
    <t>Friday</t>
  </si>
  <si>
    <t>Monday</t>
  </si>
  <si>
    <t>Saturday</t>
  </si>
  <si>
    <t>Sunday</t>
  </si>
  <si>
    <t>Thursday</t>
  </si>
  <si>
    <t>Tuesday</t>
  </si>
  <si>
    <t>Wednesday</t>
  </si>
  <si>
    <t>Week 1 Total</t>
  </si>
  <si>
    <t>Average of GA bed occupancy</t>
  </si>
  <si>
    <t>&gt;85%</t>
  </si>
  <si>
    <t>&gt;95%</t>
  </si>
  <si>
    <t>G&amp;A bed availability</t>
  </si>
  <si>
    <t>Daily average</t>
  </si>
  <si>
    <t>Total Core</t>
  </si>
  <si>
    <t>Core</t>
  </si>
  <si>
    <t>Total Escalation</t>
  </si>
  <si>
    <t>Escalation</t>
  </si>
  <si>
    <t>Total Total</t>
  </si>
  <si>
    <t>ESC.</t>
  </si>
  <si>
    <t>TOTAL</t>
  </si>
  <si>
    <t>Day with most core beds open</t>
  </si>
  <si>
    <t>Day with most escalation beds open</t>
  </si>
  <si>
    <t>Day with most total beds open</t>
  </si>
  <si>
    <t>The data shows the average daily occupancy for general and acute beds, as well as the number of reporting trusts who reached 85%, 95% or 100% occupancy on at least one day that week.
Note that the vertical axis on the chart does not start at zero.</t>
  </si>
  <si>
    <t xml:space="preserve">   Escalation beds:</t>
  </si>
  <si>
    <t xml:space="preserve">   Total beds:</t>
  </si>
  <si>
    <t>Definition: All available beds for general and acute patients, made up of core bed stock and escalation beds (temporary beds opened to increase capacity).</t>
  </si>
  <si>
    <t>18/19</t>
  </si>
  <si>
    <t>LONDON NORTH WEST UNIVERSITY HEALTHCARE NHS TRUST</t>
  </si>
  <si>
    <t>UNIVERSITY HOSPITALS PLYMOUTH NHS TRUST</t>
  </si>
  <si>
    <t>South East of England</t>
  </si>
  <si>
    <t>South East</t>
  </si>
  <si>
    <t>South West</t>
  </si>
  <si>
    <t>UNIVERSITY HOSPITALS OF DERBY AND BURTON NHS FOUNDATION TRUST</t>
  </si>
  <si>
    <t>Midlands</t>
  </si>
  <si>
    <t xml:space="preserve">South East </t>
  </si>
  <si>
    <t xml:space="preserve">South West </t>
  </si>
  <si>
    <t xml:space="preserve">   Over 14 days:</t>
  </si>
  <si>
    <t xml:space="preserve">Week </t>
  </si>
  <si>
    <t>Occupancy rate:</t>
  </si>
  <si>
    <t>The data shows the total number (sum) of ambulance arrivals to the reporting trusts in that week, and then the percentage of these that were delayed by 30 minutes or more and 60 minutes or more. It also shows the number of trusts in that week that reported at least one delay of over 60 minutes.
Note that the vertical axis on the ambulance arrivals chart does not start at zero.</t>
  </si>
  <si>
    <t xml:space="preserve">Week 10 </t>
  </si>
  <si>
    <t>Week 6 total</t>
  </si>
  <si>
    <t xml:space="preserve">Week 7 total </t>
  </si>
  <si>
    <t>Week 8 total</t>
  </si>
  <si>
    <t>Week 9 total</t>
  </si>
  <si>
    <t xml:space="preserve">Week 10 total </t>
  </si>
  <si>
    <t>Week 11 total</t>
  </si>
  <si>
    <t xml:space="preserve">Week 12 total </t>
  </si>
  <si>
    <t>Week 13 total</t>
  </si>
  <si>
    <t>CD CJ</t>
  </si>
  <si>
    <t>CL CR</t>
  </si>
  <si>
    <t>CT CZ</t>
  </si>
  <si>
    <t>DB DH</t>
  </si>
  <si>
    <t>DJ DP</t>
  </si>
  <si>
    <t>DR DX</t>
  </si>
  <si>
    <t>DZ EF</t>
  </si>
  <si>
    <t xml:space="preserve"> Core beds:</t>
  </si>
  <si>
    <t>The data shows the average number of patients per day with stays of 7, 14 and 21 days or more.</t>
  </si>
  <si>
    <t>Definition: Beds occupied by patients with a length of stay of 7, 14 and 21 days or more.</t>
  </si>
  <si>
    <t>Sum of Beds occ over 14 days 2</t>
  </si>
  <si>
    <t>19/20</t>
  </si>
  <si>
    <t>The data shows the total (sum) of all diverts in a given week.  
Total for 134 trusts in 2018/19 and 132 trusts in 2019/20.</t>
  </si>
  <si>
    <t xml:space="preserve">
The data shows the daily average number of general and acute beds available, divided into core beds and escalation beds. As well as the day when the highest number of each bed type was available.
Total for 134 trusts in 2018/19 and 132 trusts in 2019/20.
Note that the vertical axis on the core beds and total beds charts do not start at zero.</t>
  </si>
  <si>
    <t>The data shows the daily average percentage of adult critical care beds that are occupied. As well as the daily average number of adult critical care beds available (total number of beds minus number of occupied beds) each day.
Available beds total for 134 trusts in 2018/19 and 132 trusts in 2019/20.
Note that the vertical axis on the chart does not start at zero.</t>
  </si>
  <si>
    <t>The data shows the daily average percentage of paediatric intensive care beds that are occupied. As well as the daily average number of paediatric intensive care beds available (total number of beds minus number of occupied beds) each day.
Available beds total for 134 trusts in 2018/19 and 132 trusts in 2019/20.
Note that the vertical axis on the chart does not start at zero.</t>
  </si>
  <si>
    <t>The data shows the daily average percentage of neonatal intensive care beds that are occupied. As well as the daily average number of neonatal intensive care beds available (total number of beds minus number of occupied beds) each day.
Available beds total for 134 trusts in 2018/19 and 132 trusts in 2019/20.
Note that the vertical axis on the chart does not start at zero.</t>
  </si>
  <si>
    <t>12 (8-Jan)</t>
  </si>
  <si>
    <t>10 out of 91(11%)</t>
  </si>
  <si>
    <t>94,532 (4-Feb)</t>
  </si>
  <si>
    <t>4,327 (11-Feb)</t>
  </si>
  <si>
    <t xml:space="preserve">98,826 (11-Feb) </t>
  </si>
  <si>
    <t>817 (02-Feb)</t>
  </si>
  <si>
    <t xml:space="preserve">178 (21-Dec) </t>
  </si>
  <si>
    <t>East of England</t>
  </si>
  <si>
    <t>North East &amp; Yorkshire</t>
  </si>
  <si>
    <t>North West</t>
  </si>
  <si>
    <t xml:space="preserve">North West </t>
  </si>
  <si>
    <t xml:space="preserve">East of England </t>
  </si>
  <si>
    <t>North East and Yorkshire</t>
  </si>
  <si>
    <t>2019/20</t>
  </si>
  <si>
    <t>EAST SUFFOLK AND NORTH ESSEX NHS FOUNDATION TRUST</t>
  </si>
  <si>
    <t>HULL UNIVERSITY TEACHING HOSPITALS NHS TRUST</t>
  </si>
  <si>
    <t>LIVERPOOL UNIVERSITY HOSPITALS NHS FOUNDATION TRUST</t>
  </si>
  <si>
    <t>ROYAL SURREY NHS FOUNDATION TRUST</t>
  </si>
  <si>
    <t>THE QUEEN ELIZABETH HOSPITAL KING'S LYNN NHS FOUNDATION TRUST</t>
  </si>
  <si>
    <t>02/12/19</t>
  </si>
  <si>
    <t>03/12/19</t>
  </si>
  <si>
    <t>04/12/19</t>
  </si>
  <si>
    <t>05/12/19</t>
  </si>
  <si>
    <t>06/12/19</t>
  </si>
  <si>
    <t>07/12/19</t>
  </si>
  <si>
    <t>08/12/19</t>
  </si>
  <si>
    <t>2019/20 weekly total</t>
  </si>
  <si>
    <t>2019/20 weekly total by region</t>
  </si>
  <si>
    <t>2019/20 - highest day</t>
  </si>
  <si>
    <t>2019/20 - no. zero days</t>
  </si>
  <si>
    <t>2019/20 daily average beds available</t>
  </si>
  <si>
    <t>2019/20 highest day</t>
  </si>
  <si>
    <t>2019/20 daily average beds available, by region</t>
  </si>
  <si>
    <t xml:space="preserve">2019/20 - G&amp;A weekly average bed occupancy </t>
  </si>
  <si>
    <t>2019/20 - weekly average bed occupancy, by region</t>
  </si>
  <si>
    <t xml:space="preserve">2019/20 - weekly total number of beds occ over 7 days </t>
  </si>
  <si>
    <t>2019/20 - weekly total number of beds occ over 21 days</t>
  </si>
  <si>
    <t>2019/20 - weekly total number of beds occ over 14 days</t>
  </si>
  <si>
    <t>2019/20 average daily beds closed</t>
  </si>
  <si>
    <t>2019/20 average daily beds closed, by region</t>
  </si>
  <si>
    <t>2019/20 no. trusts with beds closed</t>
  </si>
  <si>
    <t>2019/20 day with most beds closed</t>
  </si>
  <si>
    <t>2019/20 average daily beds closed unoccupied</t>
  </si>
  <si>
    <t>2019/20 daily beds closed unoccupied, by region</t>
  </si>
  <si>
    <t>2019/20 number of trusts closed unoccupied</t>
  </si>
  <si>
    <t>2019/20 with highest number closed unoccupied</t>
  </si>
  <si>
    <t>2019/20 average occupancy</t>
  </si>
  <si>
    <t>2019/20 average bed occupancy, by region</t>
  </si>
  <si>
    <t>2019/20 average occupancy, by region</t>
  </si>
  <si>
    <t>2019/20 total ambulance arrivals, by region</t>
  </si>
  <si>
    <t>2019/20 ambulance handover delays, by region</t>
  </si>
  <si>
    <t>The data shows the average number of beds per day that are closed and closed unoccupied due to D&amp;V/norovirus-like symptoms. It also shows the number of trusts with beds closed/beds closed unoccupied on at least one day that week and the day with the highest number of closures recorded.
Total for 134 trusts in 2018/19 and 132 trusts in 2019/20.</t>
  </si>
  <si>
    <t xml:space="preserve">1. The data below summarises the weekly winter sitrep data published by NHS England. 
2. Where possible the data has been compared to the closest week in 2018/19. 
3. In 2019/20 there are 132 trusts reporting in the weekly winter sitreps, compared to 134 in 2018/19, comparisons with 2018/19 should therefore be used with caution for data which is a sum rather than an average.
4. The data is provided at England and at regional level. There are different numbers of trusts in each region so where data is a sum rather than an average it should not be compared across regions. </t>
  </si>
  <si>
    <t>NORTH CUMBRIA INTEGRATED CARE NHS FOUNDATION TRUST</t>
  </si>
  <si>
    <t>SOUTH TYNESIDE AND SUNDERLAND NHS FOUNDATION TRUST</t>
  </si>
  <si>
    <t>East Of England</t>
  </si>
  <si>
    <t>North West Of England</t>
  </si>
  <si>
    <t>South West of England</t>
  </si>
  <si>
    <t>2</t>
  </si>
  <si>
    <t>09/12/19</t>
  </si>
  <si>
    <t>10/12/19</t>
  </si>
  <si>
    <t>11/12/19</t>
  </si>
  <si>
    <t>12/12/19</t>
  </si>
  <si>
    <t>13/12/19</t>
  </si>
  <si>
    <t>14/12/19</t>
  </si>
  <si>
    <t>15/12/19</t>
  </si>
  <si>
    <t>Week 2 Total</t>
  </si>
  <si>
    <t>3</t>
  </si>
  <si>
    <t>16/12/19</t>
  </si>
  <si>
    <t>17/12/19</t>
  </si>
  <si>
    <t>18/12/19</t>
  </si>
  <si>
    <t>19/12/19</t>
  </si>
  <si>
    <t>20/12/19</t>
  </si>
  <si>
    <t>21/12/19</t>
  </si>
  <si>
    <t>22/12/19</t>
  </si>
  <si>
    <t>Week 3 Total</t>
  </si>
  <si>
    <t>4</t>
  </si>
  <si>
    <t>23/12/19</t>
  </si>
  <si>
    <t>24/12/19</t>
  </si>
  <si>
    <t>25/12/19</t>
  </si>
  <si>
    <t>26/12/19</t>
  </si>
  <si>
    <t>27/12/19</t>
  </si>
  <si>
    <t>28/12/19</t>
  </si>
  <si>
    <t>29/12/19</t>
  </si>
  <si>
    <t>Week 4 Total</t>
  </si>
  <si>
    <t>5</t>
  </si>
  <si>
    <t>30/12/19</t>
  </si>
  <si>
    <t>31/12/19</t>
  </si>
  <si>
    <t>01/01/20</t>
  </si>
  <si>
    <t>02/01/20</t>
  </si>
  <si>
    <t>03/01/20</t>
  </si>
  <si>
    <t>04/01/20</t>
  </si>
  <si>
    <t>05/01/20</t>
  </si>
  <si>
    <t>Week 5 Total</t>
  </si>
  <si>
    <t>6</t>
  </si>
  <si>
    <t>06/01/20</t>
  </si>
  <si>
    <t>07/01/20</t>
  </si>
  <si>
    <t>08/01/20</t>
  </si>
  <si>
    <t>09/01/20</t>
  </si>
  <si>
    <t>10/01/20</t>
  </si>
  <si>
    <t>11/01/20</t>
  </si>
  <si>
    <t>12/01/20</t>
  </si>
  <si>
    <t>Week 6 Total</t>
  </si>
  <si>
    <t>7</t>
  </si>
  <si>
    <t>13/01/20</t>
  </si>
  <si>
    <t>14/01/20</t>
  </si>
  <si>
    <t>15/01/20</t>
  </si>
  <si>
    <t>16/01/20</t>
  </si>
  <si>
    <t>17/01/20</t>
  </si>
  <si>
    <t>18/01/20</t>
  </si>
  <si>
    <t>19/01/20</t>
  </si>
  <si>
    <t>Week 7 Total</t>
  </si>
  <si>
    <t>8</t>
  </si>
  <si>
    <t>20/01/20</t>
  </si>
  <si>
    <t>21/01/20</t>
  </si>
  <si>
    <t>22/01/20</t>
  </si>
  <si>
    <t>23/01/20</t>
  </si>
  <si>
    <t>24/01/20</t>
  </si>
  <si>
    <t>25/01/20</t>
  </si>
  <si>
    <t>26/01/20</t>
  </si>
  <si>
    <t>Week 8 Total</t>
  </si>
  <si>
    <t>9</t>
  </si>
  <si>
    <t>27/01/20</t>
  </si>
  <si>
    <t>28/01/20</t>
  </si>
  <si>
    <t>29/01/20</t>
  </si>
  <si>
    <t>30/01/20</t>
  </si>
  <si>
    <t>31/01/20</t>
  </si>
  <si>
    <t>01/02/20</t>
  </si>
  <si>
    <t>02/02/20</t>
  </si>
  <si>
    <t>Week 9 Total</t>
  </si>
  <si>
    <t>10</t>
  </si>
  <si>
    <t>03/02/20</t>
  </si>
  <si>
    <t>04/02/20</t>
  </si>
  <si>
    <t>05/02/20</t>
  </si>
  <si>
    <t>06/02/20</t>
  </si>
  <si>
    <t>07/02/20</t>
  </si>
  <si>
    <t>08/02/20</t>
  </si>
  <si>
    <t>09/02/20</t>
  </si>
  <si>
    <t>Week 10 Total</t>
  </si>
  <si>
    <t>11</t>
  </si>
  <si>
    <t>10/02/20</t>
  </si>
  <si>
    <t>11/02/20</t>
  </si>
  <si>
    <t>12/02/20</t>
  </si>
  <si>
    <t>13/02/20</t>
  </si>
  <si>
    <t>14/02/20</t>
  </si>
  <si>
    <t>15/02/20</t>
  </si>
  <si>
    <t>16/02/20</t>
  </si>
  <si>
    <t>Week 11 Total</t>
  </si>
  <si>
    <t>12</t>
  </si>
  <si>
    <t>17/02/20</t>
  </si>
  <si>
    <t>18/02/20</t>
  </si>
  <si>
    <t>19/02/20</t>
  </si>
  <si>
    <t>20/02/20</t>
  </si>
  <si>
    <t>21/02/20</t>
  </si>
  <si>
    <t>22/02/20</t>
  </si>
  <si>
    <t>23/02/20</t>
  </si>
  <si>
    <t>Week 12 Total</t>
  </si>
  <si>
    <t>13</t>
  </si>
  <si>
    <t>24/02/20</t>
  </si>
  <si>
    <t>25/02/20</t>
  </si>
  <si>
    <t>26/02/20</t>
  </si>
  <si>
    <t>27/02/20</t>
  </si>
  <si>
    <t>28/02/20</t>
  </si>
  <si>
    <t>29/02/20</t>
  </si>
  <si>
    <t>01/03/20</t>
  </si>
  <si>
    <t>Week 13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</si>
</sst>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 x14ac:knownFonts="1">
    <font>
      <sz val="11"/>
      <color theme="1"/>
      <name val="Calibri"/>
      <family val="2"/>
      <scheme val="minor"/>
    </font>
    <font>
      <sz val="11"/>
      <color theme="1"/>
      <name val="Calibri"/>
      <family val="2"/>
      <scheme val="minor"/>
    </font>
    <font>
      <b/>
      <sz val="11"/>
      <color theme="1"/>
      <name val="Calibri"/>
      <family val="2"/>
      <scheme val="minor"/>
    </font>
    <font>
      <sz val="11"/>
      <color theme="2" tint="-0.249977111117893"/>
      <name val="Calibri"/>
      <family val="2"/>
      <scheme val="minor"/>
    </font>
    <font>
      <i/>
      <sz val="11"/>
      <color theme="1"/>
      <name val="Calibri"/>
      <family val="2"/>
      <scheme val="minor"/>
    </font>
    <font>
      <sz val="14"/>
      <color theme="1"/>
      <name val="Calibri"/>
      <family val="2"/>
      <scheme val="minor"/>
    </font>
    <font>
      <sz val="10"/>
      <color theme="1"/>
      <name val="Calibri"/>
      <family val="2"/>
      <scheme val="minor"/>
    </font>
    <font>
      <i/>
      <sz val="10"/>
      <color theme="9"/>
      <name val="Calibri"/>
      <family val="2"/>
      <scheme val="minor"/>
    </font>
    <font>
      <sz val="11"/>
      <color theme="9"/>
      <name val="Calibri"/>
      <family val="2"/>
      <scheme val="minor"/>
    </font>
    <font>
      <i/>
      <sz val="8"/>
      <color theme="1"/>
      <name val="Calibri"/>
      <family val="2"/>
      <scheme val="minor"/>
    </font>
    <font>
      <i/>
      <sz val="11"/>
      <color theme="0"/>
      <name val="Calibri"/>
      <family val="2"/>
      <scheme val="minor"/>
    </font>
    <font>
      <sz val="11"/>
      <color theme="0"/>
      <name val="Calibri"/>
      <family val="2"/>
      <scheme val="minor"/>
    </font>
    <font>
      <sz val="11"/>
      <color theme="4" tint="-0.249977111117893"/>
      <name val="Calibri"/>
      <family val="2"/>
      <scheme val="minor"/>
    </font>
    <font>
      <sz val="11"/>
      <color theme="4" tint="-0.499984740745262"/>
      <name val="Calibri"/>
      <family val="2"/>
      <scheme val="minor"/>
    </font>
    <font>
      <b/>
      <sz val="11"/>
      <name val="Calibri"/>
      <family val="2"/>
      <scheme val="minor"/>
    </font>
    <font>
      <b/>
      <sz val="14"/>
      <color theme="0"/>
      <name val="Calibri"/>
      <family val="2"/>
      <scheme val="minor"/>
    </font>
    <font>
      <sz val="11"/>
      <name val="Calibri"/>
      <family val="2"/>
      <scheme val="minor"/>
    </font>
    <font>
      <sz val="11"/>
      <color rgb="FFFF0000"/>
      <name val="Calibri"/>
      <family val="2"/>
      <scheme val="minor"/>
    </font>
  </fonts>
  <fills count="13">
    <fill>
      <patternFill patternType="none"/>
    </fill>
    <fill>
      <patternFill patternType="gray125"/>
    </fill>
    <fill>
      <patternFill patternType="solid">
        <fgColor theme="3" tint="0.59999389629810485"/>
        <bgColor indexed="64"/>
      </patternFill>
    </fill>
    <fill>
      <patternFill patternType="solid">
        <fgColor theme="2"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theme="2" tint="0.39997558519241921"/>
        <bgColor indexed="64"/>
      </patternFill>
    </fill>
    <fill>
      <patternFill patternType="solid">
        <fgColor rgb="FFFFFF00"/>
        <bgColor indexed="64"/>
      </patternFill>
    </fill>
    <fill>
      <patternFill patternType="solid">
        <fgColor rgb="FFCED8DD"/>
        <bgColor indexed="64"/>
      </patternFill>
    </fill>
    <fill>
      <patternFill patternType="solid">
        <fgColor theme="0"/>
        <bgColor indexed="64"/>
      </patternFill>
    </fill>
    <fill>
      <patternFill patternType="solid">
        <fgColor theme="9"/>
        <bgColor indexed="64"/>
      </patternFill>
    </fill>
    <fill>
      <patternFill patternType="solid">
        <fgColor rgb="FFD9FFFC"/>
        <bgColor indexed="64"/>
      </patternFill>
    </fill>
  </fills>
  <borders count="9">
    <border>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155">
    <xf numFmtId="0" fontId="0" fillId="0" borderId="0" xfId="0"/>
    <xf numFmtId="0" fontId="0" fillId="0" borderId="0" xfId="0" applyAlignment="1">
      <alignment horizontal="right"/>
    </xf>
    <xf numFmtId="0" fontId="0" fillId="0" borderId="0" xfId="0" applyNumberFormat="1"/>
    <xf numFmtId="164" fontId="0" fillId="0" borderId="0" xfId="1" applyNumberFormat="1" applyFont="1"/>
    <xf numFmtId="0" fontId="0" fillId="0" borderId="0" xfId="0" applyFont="1"/>
    <xf numFmtId="0" fontId="4" fillId="0" borderId="0" xfId="0" applyFont="1" applyAlignment="1">
      <alignment horizontal="right"/>
    </xf>
    <xf numFmtId="0" fontId="5" fillId="0" borderId="0" xfId="0" applyFont="1" applyAlignment="1">
      <alignment vertical="center" textRotation="90"/>
    </xf>
    <xf numFmtId="164" fontId="3" fillId="3" borderId="1" xfId="1" applyNumberFormat="1" applyFont="1" applyFill="1" applyBorder="1" applyAlignment="1">
      <alignment horizontal="center"/>
    </xf>
    <xf numFmtId="0" fontId="0" fillId="0" borderId="0" xfId="0" applyFill="1" applyBorder="1" applyAlignment="1">
      <alignment vertical="center" wrapText="1"/>
    </xf>
    <xf numFmtId="0" fontId="0" fillId="0" borderId="0" xfId="0" applyFill="1" applyBorder="1" applyAlignment="1">
      <alignment horizontal="right" vertical="center" wrapText="1"/>
    </xf>
    <xf numFmtId="0" fontId="0" fillId="0" borderId="0" xfId="0" applyAlignment="1">
      <alignment horizontal="center"/>
    </xf>
    <xf numFmtId="0" fontId="0" fillId="0" borderId="0" xfId="0" applyFill="1" applyBorder="1" applyAlignment="1">
      <alignment horizontal="right"/>
    </xf>
    <xf numFmtId="0" fontId="4" fillId="0" borderId="0" xfId="0" applyFont="1"/>
    <xf numFmtId="0" fontId="4" fillId="0" borderId="0" xfId="0" applyFont="1" applyAlignment="1">
      <alignment horizontal="left"/>
    </xf>
    <xf numFmtId="3" fontId="3" fillId="3" borderId="1" xfId="1" applyNumberFormat="1" applyFont="1" applyFill="1" applyBorder="1" applyAlignment="1">
      <alignment horizontal="center"/>
    </xf>
    <xf numFmtId="0" fontId="6" fillId="0" borderId="0" xfId="0" applyFont="1" applyAlignment="1">
      <alignment vertical="top" wrapText="1"/>
    </xf>
    <xf numFmtId="0" fontId="2" fillId="0" borderId="0" xfId="0" applyFont="1" applyAlignment="1">
      <alignment horizontal="right"/>
    </xf>
    <xf numFmtId="0" fontId="2" fillId="0" borderId="0" xfId="0" applyFont="1"/>
    <xf numFmtId="0" fontId="0" fillId="0" borderId="0" xfId="0" pivotButton="1"/>
    <xf numFmtId="0" fontId="0" fillId="0" borderId="0" xfId="0" applyAlignment="1">
      <alignment horizontal="left"/>
    </xf>
    <xf numFmtId="1" fontId="0" fillId="0" borderId="0" xfId="0" applyNumberFormat="1" applyAlignment="1">
      <alignment horizontal="center"/>
    </xf>
    <xf numFmtId="0" fontId="0" fillId="0" borderId="0" xfId="0" applyNumberFormat="1" applyAlignment="1">
      <alignment horizontal="center"/>
    </xf>
    <xf numFmtId="9" fontId="0" fillId="0" borderId="0" xfId="1" applyFont="1" applyAlignment="1">
      <alignment horizontal="center"/>
    </xf>
    <xf numFmtId="49" fontId="9" fillId="0" borderId="0" xfId="0" applyNumberFormat="1" applyFont="1" applyAlignment="1">
      <alignment horizontal="center"/>
    </xf>
    <xf numFmtId="0" fontId="10" fillId="0" borderId="0" xfId="0" applyFont="1" applyAlignment="1">
      <alignment horizontal="center"/>
    </xf>
    <xf numFmtId="1" fontId="0" fillId="0" borderId="0" xfId="1" applyNumberFormat="1" applyFont="1" applyAlignment="1">
      <alignment horizontal="center"/>
    </xf>
    <xf numFmtId="1" fontId="0" fillId="0" borderId="0" xfId="0" applyNumberFormat="1"/>
    <xf numFmtId="0" fontId="2" fillId="0" borderId="0" xfId="0" applyFont="1" applyAlignment="1">
      <alignment horizontal="center"/>
    </xf>
    <xf numFmtId="164" fontId="0" fillId="0" borderId="0" xfId="1" applyNumberFormat="1" applyFont="1" applyAlignment="1">
      <alignment horizontal="center"/>
    </xf>
    <xf numFmtId="0" fontId="6" fillId="0" borderId="0" xfId="0" applyFont="1" applyAlignment="1">
      <alignment horizontal="left" vertical="top" wrapText="1"/>
    </xf>
    <xf numFmtId="1" fontId="3" fillId="3" borderId="1" xfId="1" applyNumberFormat="1" applyFont="1" applyFill="1" applyBorder="1" applyAlignment="1">
      <alignment horizontal="center"/>
    </xf>
    <xf numFmtId="10" fontId="11" fillId="0" borderId="0" xfId="0" applyNumberFormat="1" applyFont="1"/>
    <xf numFmtId="164" fontId="0" fillId="0" borderId="0" xfId="0" applyNumberFormat="1"/>
    <xf numFmtId="9" fontId="2" fillId="0" borderId="0" xfId="0" applyNumberFormat="1" applyFont="1" applyAlignment="1">
      <alignment horizontal="right"/>
    </xf>
    <xf numFmtId="164" fontId="8" fillId="0" borderId="0" xfId="1" applyNumberFormat="1" applyFont="1" applyFill="1" applyBorder="1" applyAlignment="1">
      <alignment horizontal="center"/>
    </xf>
    <xf numFmtId="3" fontId="0" fillId="0" borderId="0" xfId="0" applyNumberFormat="1" applyAlignment="1">
      <alignment horizontal="center"/>
    </xf>
    <xf numFmtId="0" fontId="2" fillId="0" borderId="0" xfId="0" applyFont="1" applyAlignment="1">
      <alignment horizontal="center" vertical="center"/>
    </xf>
    <xf numFmtId="3" fontId="0" fillId="0" borderId="0" xfId="0" applyNumberFormat="1" applyAlignment="1">
      <alignment horizontal="right"/>
    </xf>
    <xf numFmtId="0" fontId="2" fillId="0" borderId="0" xfId="0" applyFont="1" applyFill="1" applyAlignment="1">
      <alignment horizontal="center"/>
    </xf>
    <xf numFmtId="0" fontId="12" fillId="0" borderId="0" xfId="0" applyFont="1"/>
    <xf numFmtId="0" fontId="4" fillId="0" borderId="0" xfId="0" applyFont="1" applyFill="1"/>
    <xf numFmtId="0" fontId="2" fillId="5" borderId="0" xfId="0" applyFont="1" applyFill="1" applyAlignment="1">
      <alignment horizontal="center"/>
    </xf>
    <xf numFmtId="0" fontId="0" fillId="0" borderId="0" xfId="0" applyAlignment="1">
      <alignment horizontal="center"/>
    </xf>
    <xf numFmtId="0" fontId="0" fillId="0" borderId="0" xfId="0" applyFill="1"/>
    <xf numFmtId="0" fontId="2" fillId="5" borderId="0" xfId="0" applyFont="1" applyFill="1" applyAlignment="1">
      <alignment horizontal="left" vertical="top"/>
    </xf>
    <xf numFmtId="0" fontId="0" fillId="0" borderId="0" xfId="0" applyAlignment="1">
      <alignment horizontal="left" vertical="top"/>
    </xf>
    <xf numFmtId="9" fontId="0" fillId="0" borderId="0" xfId="1" applyFont="1"/>
    <xf numFmtId="0" fontId="2" fillId="5" borderId="0" xfId="0" applyFont="1" applyFill="1" applyAlignment="1">
      <alignment horizontal="center"/>
    </xf>
    <xf numFmtId="0" fontId="2" fillId="4" borderId="0" xfId="0" applyFont="1" applyFill="1" applyAlignment="1">
      <alignment horizontal="center"/>
    </xf>
    <xf numFmtId="0" fontId="0" fillId="0" borderId="0" xfId="0" applyAlignment="1">
      <alignment horizontal="center"/>
    </xf>
    <xf numFmtId="0" fontId="6" fillId="0" borderId="0" xfId="0" applyFont="1" applyAlignment="1">
      <alignment horizontal="left" vertical="top" wrapText="1"/>
    </xf>
    <xf numFmtId="0" fontId="2" fillId="5" borderId="0" xfId="0" applyFont="1" applyFill="1" applyAlignment="1">
      <alignment horizontal="center"/>
    </xf>
    <xf numFmtId="2" fontId="0" fillId="0" borderId="0" xfId="0" applyNumberFormat="1"/>
    <xf numFmtId="0" fontId="0" fillId="0" borderId="0" xfId="0" applyAlignment="1">
      <alignment horizontal="center" vertical="center"/>
    </xf>
    <xf numFmtId="164" fontId="0" fillId="0" borderId="0" xfId="1" applyNumberFormat="1" applyFont="1" applyAlignment="1">
      <alignment horizontal="left" vertical="top"/>
    </xf>
    <xf numFmtId="0" fontId="2" fillId="5" borderId="0" xfId="0" applyFont="1" applyFill="1" applyAlignment="1">
      <alignment horizontal="center"/>
    </xf>
    <xf numFmtId="0" fontId="2" fillId="5" borderId="0" xfId="0" applyFont="1" applyFill="1"/>
    <xf numFmtId="0" fontId="2" fillId="5" borderId="0" xfId="0" applyFont="1" applyFill="1" applyAlignment="1">
      <alignment horizontal="left"/>
    </xf>
    <xf numFmtId="3" fontId="13" fillId="0" borderId="0" xfId="0" applyNumberFormat="1" applyFont="1" applyFill="1" applyBorder="1" applyAlignment="1">
      <alignment horizontal="center"/>
    </xf>
    <xf numFmtId="0" fontId="0" fillId="0" borderId="0" xfId="0" applyBorder="1"/>
    <xf numFmtId="0" fontId="2" fillId="2" borderId="5" xfId="0" applyFont="1" applyFill="1" applyBorder="1" applyAlignment="1">
      <alignment horizontal="center"/>
    </xf>
    <xf numFmtId="3" fontId="2" fillId="2" borderId="5" xfId="0" applyNumberFormat="1" applyFont="1" applyFill="1" applyBorder="1" applyAlignment="1">
      <alignment horizontal="center"/>
    </xf>
    <xf numFmtId="164" fontId="2" fillId="2" borderId="5" xfId="0" applyNumberFormat="1" applyFont="1" applyFill="1" applyBorder="1" applyAlignment="1">
      <alignment horizontal="center"/>
    </xf>
    <xf numFmtId="1" fontId="2" fillId="2" borderId="5" xfId="0" applyNumberFormat="1" applyFont="1" applyFill="1" applyBorder="1" applyAlignment="1">
      <alignment horizontal="center"/>
    </xf>
    <xf numFmtId="164" fontId="2" fillId="2" borderId="5" xfId="1" applyNumberFormat="1" applyFont="1" applyFill="1" applyBorder="1" applyAlignment="1">
      <alignment horizontal="center"/>
    </xf>
    <xf numFmtId="0" fontId="0" fillId="0" borderId="0" xfId="0" applyFill="1" applyBorder="1"/>
    <xf numFmtId="3" fontId="2" fillId="2" borderId="5" xfId="1" applyNumberFormat="1" applyFont="1" applyFill="1" applyBorder="1" applyAlignment="1">
      <alignment horizontal="center"/>
    </xf>
    <xf numFmtId="3" fontId="2" fillId="6" borderId="5" xfId="0" applyNumberFormat="1" applyFont="1" applyFill="1" applyBorder="1" applyAlignment="1">
      <alignment horizontal="center"/>
    </xf>
    <xf numFmtId="164" fontId="2" fillId="7" borderId="5" xfId="1" applyNumberFormat="1" applyFont="1" applyFill="1" applyBorder="1" applyAlignment="1">
      <alignment horizontal="center"/>
    </xf>
    <xf numFmtId="0" fontId="0" fillId="0" borderId="0" xfId="0" applyFont="1" applyAlignment="1">
      <alignment horizontal="right"/>
    </xf>
    <xf numFmtId="164" fontId="13" fillId="0" borderId="0" xfId="1" applyNumberFormat="1" applyFont="1" applyFill="1" applyBorder="1" applyAlignment="1">
      <alignment horizontal="center"/>
    </xf>
    <xf numFmtId="3" fontId="13" fillId="0" borderId="0" xfId="1" applyNumberFormat="1" applyFont="1" applyFill="1" applyBorder="1" applyAlignment="1">
      <alignment horizontal="center"/>
    </xf>
    <xf numFmtId="1" fontId="0" fillId="8" borderId="0" xfId="0" applyNumberFormat="1" applyFill="1" applyAlignment="1">
      <alignment horizontal="center"/>
    </xf>
    <xf numFmtId="1" fontId="0" fillId="9" borderId="0" xfId="0" applyNumberFormat="1" applyFill="1" applyAlignment="1">
      <alignment horizontal="center"/>
    </xf>
    <xf numFmtId="0" fontId="2" fillId="0" borderId="0" xfId="0" applyFont="1" applyFill="1" applyBorder="1" applyAlignment="1">
      <alignment horizontal="center"/>
    </xf>
    <xf numFmtId="0" fontId="13" fillId="0" borderId="0" xfId="0" applyFont="1" applyFill="1" applyBorder="1" applyAlignment="1">
      <alignment horizontal="center"/>
    </xf>
    <xf numFmtId="0" fontId="3" fillId="3" borderId="5" xfId="0" applyFont="1" applyFill="1" applyBorder="1" applyAlignment="1">
      <alignment horizontal="center"/>
    </xf>
    <xf numFmtId="0" fontId="2" fillId="10" borderId="0" xfId="0" applyFont="1" applyFill="1" applyBorder="1" applyAlignment="1"/>
    <xf numFmtId="0" fontId="0" fillId="10" borderId="0" xfId="0" applyFont="1" applyFill="1" applyBorder="1"/>
    <xf numFmtId="3" fontId="2" fillId="10" borderId="0" xfId="0" applyNumberFormat="1" applyFont="1" applyFill="1" applyBorder="1" applyAlignment="1">
      <alignment horizontal="center"/>
    </xf>
    <xf numFmtId="3" fontId="13" fillId="10" borderId="0" xfId="0" applyNumberFormat="1" applyFont="1" applyFill="1" applyBorder="1" applyAlignment="1">
      <alignment horizontal="center"/>
    </xf>
    <xf numFmtId="2" fontId="2" fillId="10" borderId="0" xfId="0" applyNumberFormat="1" applyFont="1" applyFill="1" applyBorder="1" applyAlignment="1"/>
    <xf numFmtId="164" fontId="2" fillId="10" borderId="0" xfId="0" applyNumberFormat="1" applyFont="1" applyFill="1" applyBorder="1" applyAlignment="1">
      <alignment horizontal="center"/>
    </xf>
    <xf numFmtId="164" fontId="13" fillId="10" borderId="0" xfId="0" applyNumberFormat="1" applyFont="1" applyFill="1" applyBorder="1" applyAlignment="1">
      <alignment horizontal="center"/>
    </xf>
    <xf numFmtId="0" fontId="0" fillId="10" borderId="0" xfId="0" applyFill="1" applyBorder="1"/>
    <xf numFmtId="1" fontId="2" fillId="10" borderId="0" xfId="0" applyNumberFormat="1" applyFont="1" applyFill="1" applyBorder="1" applyAlignment="1">
      <alignment horizontal="center"/>
    </xf>
    <xf numFmtId="3" fontId="3" fillId="10" borderId="0" xfId="1" applyNumberFormat="1" applyFont="1" applyFill="1" applyBorder="1" applyAlignment="1">
      <alignment horizontal="center"/>
    </xf>
    <xf numFmtId="3" fontId="3" fillId="3" borderId="5" xfId="1" applyNumberFormat="1" applyFont="1" applyFill="1" applyBorder="1" applyAlignment="1">
      <alignment horizontal="center"/>
    </xf>
    <xf numFmtId="0" fontId="2" fillId="10" borderId="0" xfId="0" applyFont="1" applyFill="1" applyBorder="1" applyAlignment="1">
      <alignment horizontal="center"/>
    </xf>
    <xf numFmtId="3" fontId="2" fillId="10" borderId="0" xfId="0" applyNumberFormat="1" applyFont="1" applyFill="1" applyBorder="1" applyAlignment="1"/>
    <xf numFmtId="1" fontId="13" fillId="10" borderId="0" xfId="0" applyNumberFormat="1" applyFont="1" applyFill="1" applyBorder="1" applyAlignment="1">
      <alignment horizontal="center"/>
    </xf>
    <xf numFmtId="164" fontId="2" fillId="10" borderId="0" xfId="1" applyNumberFormat="1" applyFont="1" applyFill="1" applyBorder="1" applyAlignment="1">
      <alignment horizontal="center"/>
    </xf>
    <xf numFmtId="164" fontId="13" fillId="10" borderId="0" xfId="1" applyNumberFormat="1" applyFont="1" applyFill="1" applyBorder="1" applyAlignment="1">
      <alignment horizontal="center"/>
    </xf>
    <xf numFmtId="1" fontId="14" fillId="10" borderId="0" xfId="0" applyNumberFormat="1" applyFont="1" applyFill="1" applyBorder="1" applyAlignment="1">
      <alignment horizontal="center"/>
    </xf>
    <xf numFmtId="1" fontId="14" fillId="2" borderId="5" xfId="0" applyNumberFormat="1" applyFont="1" applyFill="1" applyBorder="1" applyAlignment="1">
      <alignment horizontal="center"/>
    </xf>
    <xf numFmtId="164" fontId="2" fillId="0" borderId="0" xfId="1" applyNumberFormat="1" applyFont="1" applyFill="1" applyBorder="1" applyAlignment="1">
      <alignment horizontal="center"/>
    </xf>
    <xf numFmtId="1" fontId="2" fillId="0" borderId="0" xfId="0" applyNumberFormat="1" applyFont="1" applyFill="1" applyBorder="1" applyAlignment="1">
      <alignment horizontal="center"/>
    </xf>
    <xf numFmtId="1" fontId="13" fillId="0" borderId="0" xfId="0" applyNumberFormat="1" applyFont="1" applyFill="1" applyBorder="1" applyAlignment="1">
      <alignment horizontal="center"/>
    </xf>
    <xf numFmtId="3" fontId="2" fillId="0" borderId="0" xfId="1" applyNumberFormat="1" applyFont="1" applyFill="1" applyBorder="1" applyAlignment="1">
      <alignment horizontal="center"/>
    </xf>
    <xf numFmtId="0" fontId="2" fillId="2" borderId="5" xfId="0" applyFont="1" applyFill="1" applyBorder="1" applyAlignment="1">
      <alignment horizontal="center"/>
    </xf>
    <xf numFmtId="0" fontId="0" fillId="0" borderId="0" xfId="0" applyFill="1" applyAlignment="1">
      <alignment horizontal="left"/>
    </xf>
    <xf numFmtId="0" fontId="0" fillId="0" borderId="0" xfId="0" applyAlignment="1">
      <alignment horizontal="center"/>
    </xf>
    <xf numFmtId="3" fontId="2" fillId="2" borderId="5" xfId="0" applyNumberFormat="1" applyFont="1" applyFill="1" applyBorder="1" applyAlignment="1">
      <alignment horizontal="center"/>
    </xf>
    <xf numFmtId="3" fontId="0" fillId="0" borderId="0" xfId="0" applyNumberFormat="1"/>
    <xf numFmtId="3" fontId="6" fillId="0" borderId="0" xfId="0" applyNumberFormat="1" applyFont="1" applyAlignment="1">
      <alignment horizontal="left" vertical="top" wrapText="1"/>
    </xf>
    <xf numFmtId="0" fontId="0" fillId="10" borderId="0" xfId="0" applyFill="1"/>
    <xf numFmtId="0" fontId="8" fillId="12" borderId="5" xfId="0" applyFont="1" applyFill="1" applyBorder="1" applyAlignment="1">
      <alignment horizontal="center"/>
    </xf>
    <xf numFmtId="3" fontId="8" fillId="12" borderId="5" xfId="0" applyNumberFormat="1" applyFont="1" applyFill="1" applyBorder="1" applyAlignment="1">
      <alignment horizontal="center"/>
    </xf>
    <xf numFmtId="164" fontId="8" fillId="12" borderId="5" xfId="0" applyNumberFormat="1" applyFont="1" applyFill="1" applyBorder="1" applyAlignment="1">
      <alignment horizontal="center"/>
    </xf>
    <xf numFmtId="1" fontId="8" fillId="12" borderId="5" xfId="0" applyNumberFormat="1" applyFont="1" applyFill="1" applyBorder="1" applyAlignment="1">
      <alignment horizontal="center"/>
    </xf>
    <xf numFmtId="164" fontId="8" fillId="12" borderId="5" xfId="1" applyNumberFormat="1" applyFont="1" applyFill="1" applyBorder="1" applyAlignment="1">
      <alignment horizontal="center"/>
    </xf>
    <xf numFmtId="3" fontId="8" fillId="12" borderId="5" xfId="1" applyNumberFormat="1" applyFont="1" applyFill="1" applyBorder="1" applyAlignment="1">
      <alignment horizontal="center"/>
    </xf>
    <xf numFmtId="0" fontId="2" fillId="2" borderId="5" xfId="0" applyFont="1" applyFill="1" applyBorder="1" applyAlignment="1">
      <alignment horizontal="center"/>
    </xf>
    <xf numFmtId="3" fontId="2" fillId="2" borderId="5" xfId="0" applyNumberFormat="1" applyFont="1" applyFill="1" applyBorder="1" applyAlignment="1">
      <alignment horizontal="center"/>
    </xf>
    <xf numFmtId="0" fontId="7" fillId="0" borderId="0" xfId="0" applyFont="1" applyAlignment="1">
      <alignment horizontal="left" vertical="top" wrapText="1"/>
    </xf>
    <xf numFmtId="0" fontId="6" fillId="0" borderId="0" xfId="0" applyFont="1" applyAlignment="1">
      <alignment horizontal="left" vertical="top" wrapText="1"/>
    </xf>
    <xf numFmtId="0" fontId="2" fillId="5" borderId="0" xfId="0" applyFont="1" applyFill="1" applyAlignment="1">
      <alignment horizontal="center" vertical="top"/>
    </xf>
    <xf numFmtId="0" fontId="0" fillId="0" borderId="0" xfId="0" applyAlignment="1">
      <alignment horizontal="center"/>
    </xf>
    <xf numFmtId="3" fontId="2" fillId="2" borderId="5" xfId="0" applyNumberFormat="1" applyFont="1" applyFill="1" applyBorder="1" applyAlignment="1">
      <alignment horizontal="center"/>
    </xf>
    <xf numFmtId="0" fontId="2" fillId="5" borderId="0" xfId="0" applyFont="1" applyFill="1" applyAlignment="1">
      <alignment horizontal="center"/>
    </xf>
    <xf numFmtId="0" fontId="2" fillId="5" borderId="0" xfId="0" applyFont="1" applyFill="1" applyAlignment="1">
      <alignment horizontal="center" vertical="top"/>
    </xf>
    <xf numFmtId="0" fontId="0" fillId="8" borderId="0" xfId="0" applyFill="1"/>
    <xf numFmtId="0" fontId="2" fillId="5" borderId="0" xfId="0" applyFont="1" applyFill="1" applyAlignment="1">
      <alignment horizontal="center"/>
    </xf>
    <xf numFmtId="0" fontId="2" fillId="5" borderId="0" xfId="0" applyFont="1" applyFill="1" applyAlignment="1">
      <alignment horizontal="center" vertical="top"/>
    </xf>
    <xf numFmtId="0" fontId="16" fillId="0" borderId="0" xfId="0" applyFont="1"/>
    <xf numFmtId="1" fontId="17" fillId="0" borderId="0" xfId="0" applyNumberFormat="1" applyFont="1"/>
    <xf numFmtId="1" fontId="11" fillId="0" borderId="0" xfId="0" applyNumberFormat="1" applyFont="1"/>
    <xf numFmtId="164" fontId="11" fillId="0" borderId="0" xfId="1" applyNumberFormat="1" applyFont="1"/>
    <xf numFmtId="0" fontId="11" fillId="0" borderId="0" xfId="0" applyFont="1"/>
    <xf numFmtId="3" fontId="2" fillId="2" borderId="5" xfId="0" applyNumberFormat="1" applyFont="1" applyFill="1" applyBorder="1" applyAlignment="1">
      <alignment horizontal="center"/>
    </xf>
    <xf numFmtId="0" fontId="6" fillId="0" borderId="0" xfId="0" applyFont="1" applyAlignment="1">
      <alignment horizontal="left" vertical="top" wrapText="1"/>
    </xf>
    <xf numFmtId="0" fontId="0" fillId="3" borderId="0" xfId="0" applyFill="1" applyAlignment="1">
      <alignment horizontal="left" vertical="center" wrapText="1"/>
    </xf>
    <xf numFmtId="0" fontId="15" fillId="11" borderId="0" xfId="0" applyFont="1" applyFill="1" applyAlignment="1">
      <alignment horizontal="center" vertical="center" textRotation="90"/>
    </xf>
    <xf numFmtId="0" fontId="7" fillId="0" borderId="0" xfId="0" applyFont="1" applyAlignment="1">
      <alignment horizontal="left" vertical="top" wrapText="1"/>
    </xf>
    <xf numFmtId="0" fontId="3" fillId="3" borderId="5" xfId="0" applyFont="1" applyFill="1" applyBorder="1" applyAlignment="1">
      <alignment horizontal="center"/>
    </xf>
    <xf numFmtId="0" fontId="0" fillId="2" borderId="5"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0" fillId="2" borderId="2" xfId="0" applyFont="1" applyFill="1" applyBorder="1" applyAlignment="1">
      <alignment horizontal="center"/>
    </xf>
    <xf numFmtId="0" fontId="0" fillId="2" borderId="3" xfId="0" applyFont="1" applyFill="1" applyBorder="1" applyAlignment="1">
      <alignment horizontal="center"/>
    </xf>
    <xf numFmtId="0" fontId="3" fillId="3" borderId="6" xfId="0" applyFont="1" applyFill="1" applyBorder="1" applyAlignment="1">
      <alignment horizontal="center"/>
    </xf>
    <xf numFmtId="0" fontId="3" fillId="3" borderId="7" xfId="0" applyFont="1" applyFill="1" applyBorder="1" applyAlignment="1">
      <alignment horizontal="center"/>
    </xf>
    <xf numFmtId="0" fontId="3" fillId="3" borderId="8" xfId="0" applyFont="1" applyFill="1" applyBorder="1" applyAlignment="1">
      <alignment horizontal="center"/>
    </xf>
    <xf numFmtId="0" fontId="2" fillId="2" borderId="5" xfId="0" applyFont="1" applyFill="1" applyBorder="1" applyAlignment="1">
      <alignment horizontal="center"/>
    </xf>
    <xf numFmtId="3" fontId="2" fillId="2" borderId="5" xfId="0" applyNumberFormat="1" applyFont="1" applyFill="1" applyBorder="1" applyAlignment="1">
      <alignment horizontal="center"/>
    </xf>
    <xf numFmtId="3" fontId="2" fillId="2" borderId="6" xfId="0" applyNumberFormat="1" applyFont="1" applyFill="1" applyBorder="1" applyAlignment="1">
      <alignment horizontal="center"/>
    </xf>
    <xf numFmtId="3" fontId="2" fillId="2" borderId="7" xfId="0" applyNumberFormat="1" applyFont="1" applyFill="1" applyBorder="1" applyAlignment="1">
      <alignment horizontal="center"/>
    </xf>
    <xf numFmtId="3" fontId="2" fillId="2" borderId="8" xfId="0" applyNumberFormat="1" applyFont="1" applyFill="1" applyBorder="1" applyAlignment="1">
      <alignment horizontal="center"/>
    </xf>
    <xf numFmtId="0" fontId="4" fillId="0" borderId="0" xfId="0" applyFont="1" applyAlignment="1">
      <alignment horizontal="center"/>
    </xf>
    <xf numFmtId="2" fontId="2" fillId="2" borderId="5" xfId="0" applyNumberFormat="1" applyFont="1" applyFill="1" applyBorder="1" applyAlignment="1">
      <alignment horizontal="center"/>
    </xf>
    <xf numFmtId="0" fontId="2" fillId="5" borderId="0" xfId="0" applyFont="1" applyFill="1" applyAlignment="1">
      <alignment horizontal="center"/>
    </xf>
    <xf numFmtId="0" fontId="2" fillId="5" borderId="0" xfId="0" applyFont="1" applyFill="1" applyAlignment="1">
      <alignment horizontal="center" vertical="top"/>
    </xf>
    <xf numFmtId="0" fontId="0" fillId="0" borderId="0" xfId="0" applyAlignment="1">
      <alignment horizontal="center"/>
    </xf>
    <xf numFmtId="0" fontId="2" fillId="4" borderId="0" xfId="0" applyFont="1" applyFill="1" applyAlignment="1">
      <alignment horizontal="center"/>
    </xf>
  </cellXfs>
  <cellStyles count="2">
    <cellStyle name="Normal" xfId="0" builtinId="0"/>
    <cellStyle name="Percent" xfId="1" builtinId="5"/>
  </cellStyles>
  <dxfs count="0"/>
  <tableStyles count="0" defaultTableStyle="TableStyleMedium2" defaultPivotStyle="PivotStyleLight16"/>
  <colors>
    <mruColors>
      <color rgb="FFF79131"/>
      <color rgb="FF9DA6AB"/>
      <color rgb="FFD9FFFC"/>
      <color rgb="FFB9FFFA"/>
      <color rgb="FFCED8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3.xml"/><Relationship Id="rId117" Type="http://schemas.openxmlformats.org/officeDocument/2006/relationships/customXml" Target="../customXml/item60.xml"/><Relationship Id="rId21" Type="http://schemas.openxmlformats.org/officeDocument/2006/relationships/pivotCacheDefinition" Target="pivotCache/pivotCacheDefinition8.xml"/><Relationship Id="rId42" Type="http://schemas.openxmlformats.org/officeDocument/2006/relationships/pivotCacheDefinition" Target="pivotCache/pivotCacheDefinition29.xml"/><Relationship Id="rId47" Type="http://schemas.openxmlformats.org/officeDocument/2006/relationships/pivotCacheDefinition" Target="pivotCache/pivotCacheDefinition34.xml"/><Relationship Id="rId63" Type="http://schemas.openxmlformats.org/officeDocument/2006/relationships/customXml" Target="../customXml/item6.xml"/><Relationship Id="rId68" Type="http://schemas.openxmlformats.org/officeDocument/2006/relationships/customXml" Target="../customXml/item11.xml"/><Relationship Id="rId84" Type="http://schemas.openxmlformats.org/officeDocument/2006/relationships/customXml" Target="../customXml/item27.xml"/><Relationship Id="rId89" Type="http://schemas.openxmlformats.org/officeDocument/2006/relationships/customXml" Target="../customXml/item32.xml"/><Relationship Id="rId112" Type="http://schemas.openxmlformats.org/officeDocument/2006/relationships/customXml" Target="../customXml/item55.xml"/><Relationship Id="rId16" Type="http://schemas.openxmlformats.org/officeDocument/2006/relationships/pivotCacheDefinition" Target="pivotCache/pivotCacheDefinition3.xml"/><Relationship Id="rId107" Type="http://schemas.openxmlformats.org/officeDocument/2006/relationships/customXml" Target="../customXml/item50.xml"/><Relationship Id="rId11" Type="http://schemas.openxmlformats.org/officeDocument/2006/relationships/worksheet" Target="worksheets/sheet11.xml"/><Relationship Id="rId32" Type="http://schemas.openxmlformats.org/officeDocument/2006/relationships/pivotCacheDefinition" Target="pivotCache/pivotCacheDefinition19.xml"/><Relationship Id="rId37" Type="http://schemas.openxmlformats.org/officeDocument/2006/relationships/pivotCacheDefinition" Target="pivotCache/pivotCacheDefinition24.xml"/><Relationship Id="rId53" Type="http://schemas.openxmlformats.org/officeDocument/2006/relationships/styles" Target="styles.xml"/><Relationship Id="rId58" Type="http://schemas.openxmlformats.org/officeDocument/2006/relationships/customXml" Target="../customXml/item1.xml"/><Relationship Id="rId74" Type="http://schemas.openxmlformats.org/officeDocument/2006/relationships/customXml" Target="../customXml/item17.xml"/><Relationship Id="rId79" Type="http://schemas.openxmlformats.org/officeDocument/2006/relationships/customXml" Target="../customXml/item22.xml"/><Relationship Id="rId102" Type="http://schemas.openxmlformats.org/officeDocument/2006/relationships/customXml" Target="../customXml/item45.xml"/><Relationship Id="rId123" Type="http://schemas.openxmlformats.org/officeDocument/2006/relationships/customXml" Target="../customXml/item66.xml"/><Relationship Id="rId128" Type="http://schemas.openxmlformats.org/officeDocument/2006/relationships/customXml" Target="../customXml/item71.xml"/><Relationship Id="rId5" Type="http://schemas.openxmlformats.org/officeDocument/2006/relationships/worksheet" Target="worksheets/sheet5.xml"/><Relationship Id="rId90" Type="http://schemas.openxmlformats.org/officeDocument/2006/relationships/customXml" Target="../customXml/item33.xml"/><Relationship Id="rId95" Type="http://schemas.openxmlformats.org/officeDocument/2006/relationships/customXml" Target="../customXml/item38.xml"/><Relationship Id="rId19" Type="http://schemas.openxmlformats.org/officeDocument/2006/relationships/pivotCacheDefinition" Target="pivotCache/pivotCacheDefinition6.xml"/><Relationship Id="rId14" Type="http://schemas.openxmlformats.org/officeDocument/2006/relationships/pivotCacheDefinition" Target="pivotCache/pivotCacheDefinition1.xml"/><Relationship Id="rId22" Type="http://schemas.openxmlformats.org/officeDocument/2006/relationships/pivotCacheDefinition" Target="pivotCache/pivotCacheDefinition9.xml"/><Relationship Id="rId27" Type="http://schemas.openxmlformats.org/officeDocument/2006/relationships/pivotCacheDefinition" Target="pivotCache/pivotCacheDefinition14.xml"/><Relationship Id="rId30" Type="http://schemas.openxmlformats.org/officeDocument/2006/relationships/pivotCacheDefinition" Target="pivotCache/pivotCacheDefinition17.xml"/><Relationship Id="rId35" Type="http://schemas.openxmlformats.org/officeDocument/2006/relationships/pivotCacheDefinition" Target="pivotCache/pivotCacheDefinition22.xml"/><Relationship Id="rId43" Type="http://schemas.openxmlformats.org/officeDocument/2006/relationships/pivotCacheDefinition" Target="pivotCache/pivotCacheDefinition30.xml"/><Relationship Id="rId48" Type="http://schemas.openxmlformats.org/officeDocument/2006/relationships/pivotCacheDefinition" Target="pivotCache/pivotCacheDefinition35.xml"/><Relationship Id="rId56" Type="http://schemas.microsoft.com/office/2007/relationships/customDataProps" Target="customData/itemProps1.xml"/><Relationship Id="rId64" Type="http://schemas.openxmlformats.org/officeDocument/2006/relationships/customXml" Target="../customXml/item7.xml"/><Relationship Id="rId69" Type="http://schemas.openxmlformats.org/officeDocument/2006/relationships/customXml" Target="../customXml/item12.xml"/><Relationship Id="rId77" Type="http://schemas.openxmlformats.org/officeDocument/2006/relationships/customXml" Target="../customXml/item20.xml"/><Relationship Id="rId100" Type="http://schemas.openxmlformats.org/officeDocument/2006/relationships/customXml" Target="../customXml/item43.xml"/><Relationship Id="rId105" Type="http://schemas.openxmlformats.org/officeDocument/2006/relationships/customXml" Target="../customXml/item48.xml"/><Relationship Id="rId113" Type="http://schemas.openxmlformats.org/officeDocument/2006/relationships/customXml" Target="../customXml/item56.xml"/><Relationship Id="rId118" Type="http://schemas.openxmlformats.org/officeDocument/2006/relationships/customXml" Target="../customXml/item61.xml"/><Relationship Id="rId126" Type="http://schemas.openxmlformats.org/officeDocument/2006/relationships/customXml" Target="../customXml/item69.xml"/><Relationship Id="rId8" Type="http://schemas.openxmlformats.org/officeDocument/2006/relationships/worksheet" Target="worksheets/sheet8.xml"/><Relationship Id="rId51" Type="http://schemas.openxmlformats.org/officeDocument/2006/relationships/theme" Target="theme/theme1.xml"/><Relationship Id="rId72" Type="http://schemas.openxmlformats.org/officeDocument/2006/relationships/customXml" Target="../customXml/item15.xml"/><Relationship Id="rId80" Type="http://schemas.openxmlformats.org/officeDocument/2006/relationships/customXml" Target="../customXml/item23.xml"/><Relationship Id="rId85" Type="http://schemas.openxmlformats.org/officeDocument/2006/relationships/customXml" Target="../customXml/item28.xml"/><Relationship Id="rId93" Type="http://schemas.openxmlformats.org/officeDocument/2006/relationships/customXml" Target="../customXml/item36.xml"/><Relationship Id="rId98" Type="http://schemas.openxmlformats.org/officeDocument/2006/relationships/customXml" Target="../customXml/item41.xml"/><Relationship Id="rId121" Type="http://schemas.openxmlformats.org/officeDocument/2006/relationships/customXml" Target="../customXml/item6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openxmlformats.org/officeDocument/2006/relationships/pivotCacheDefinition" Target="pivotCache/pivotCacheDefinition12.xml"/><Relationship Id="rId33" Type="http://schemas.openxmlformats.org/officeDocument/2006/relationships/pivotCacheDefinition" Target="pivotCache/pivotCacheDefinition20.xml"/><Relationship Id="rId38" Type="http://schemas.openxmlformats.org/officeDocument/2006/relationships/pivotCacheDefinition" Target="pivotCache/pivotCacheDefinition25.xml"/><Relationship Id="rId46" Type="http://schemas.openxmlformats.org/officeDocument/2006/relationships/pivotCacheDefinition" Target="pivotCache/pivotCacheDefinition33.xml"/><Relationship Id="rId59" Type="http://schemas.openxmlformats.org/officeDocument/2006/relationships/customXml" Target="../customXml/item2.xml"/><Relationship Id="rId67" Type="http://schemas.openxmlformats.org/officeDocument/2006/relationships/customXml" Target="../customXml/item10.xml"/><Relationship Id="rId103" Type="http://schemas.openxmlformats.org/officeDocument/2006/relationships/customXml" Target="../customXml/item46.xml"/><Relationship Id="rId108" Type="http://schemas.openxmlformats.org/officeDocument/2006/relationships/customXml" Target="../customXml/item51.xml"/><Relationship Id="rId116" Type="http://schemas.openxmlformats.org/officeDocument/2006/relationships/customXml" Target="../customXml/item59.xml"/><Relationship Id="rId124" Type="http://schemas.openxmlformats.org/officeDocument/2006/relationships/customXml" Target="../customXml/item67.xml"/><Relationship Id="rId129" Type="http://schemas.openxmlformats.org/officeDocument/2006/relationships/customXml" Target="../customXml/item72.xml"/><Relationship Id="rId20" Type="http://schemas.openxmlformats.org/officeDocument/2006/relationships/pivotCacheDefinition" Target="pivotCache/pivotCacheDefinition7.xml"/><Relationship Id="rId41" Type="http://schemas.openxmlformats.org/officeDocument/2006/relationships/pivotCacheDefinition" Target="pivotCache/pivotCacheDefinition28.xml"/><Relationship Id="rId54" Type="http://schemas.openxmlformats.org/officeDocument/2006/relationships/sharedStrings" Target="sharedStrings.xml"/><Relationship Id="rId62" Type="http://schemas.openxmlformats.org/officeDocument/2006/relationships/customXml" Target="../customXml/item5.xml"/><Relationship Id="rId70" Type="http://schemas.openxmlformats.org/officeDocument/2006/relationships/customXml" Target="../customXml/item13.xml"/><Relationship Id="rId75" Type="http://schemas.openxmlformats.org/officeDocument/2006/relationships/customXml" Target="../customXml/item18.xml"/><Relationship Id="rId83" Type="http://schemas.openxmlformats.org/officeDocument/2006/relationships/customXml" Target="../customXml/item26.xml"/><Relationship Id="rId88" Type="http://schemas.openxmlformats.org/officeDocument/2006/relationships/customXml" Target="../customXml/item31.xml"/><Relationship Id="rId91" Type="http://schemas.openxmlformats.org/officeDocument/2006/relationships/customXml" Target="../customXml/item34.xml"/><Relationship Id="rId96" Type="http://schemas.openxmlformats.org/officeDocument/2006/relationships/customXml" Target="../customXml/item39.xml"/><Relationship Id="rId111" Type="http://schemas.openxmlformats.org/officeDocument/2006/relationships/customXml" Target="../customXml/item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2.xml"/><Relationship Id="rId23" Type="http://schemas.openxmlformats.org/officeDocument/2006/relationships/pivotCacheDefinition" Target="pivotCache/pivotCacheDefinition10.xml"/><Relationship Id="rId28" Type="http://schemas.openxmlformats.org/officeDocument/2006/relationships/pivotCacheDefinition" Target="pivotCache/pivotCacheDefinition15.xml"/><Relationship Id="rId36" Type="http://schemas.openxmlformats.org/officeDocument/2006/relationships/pivotCacheDefinition" Target="pivotCache/pivotCacheDefinition23.xml"/><Relationship Id="rId49" Type="http://schemas.openxmlformats.org/officeDocument/2006/relationships/pivotCacheDefinition" Target="pivotCache/pivotCacheDefinition36.xml"/><Relationship Id="rId57" Type="http://schemas.openxmlformats.org/officeDocument/2006/relationships/calcChain" Target="calcChain.xml"/><Relationship Id="rId106" Type="http://schemas.openxmlformats.org/officeDocument/2006/relationships/customXml" Target="../customXml/item49.xml"/><Relationship Id="rId114" Type="http://schemas.openxmlformats.org/officeDocument/2006/relationships/customXml" Target="../customXml/item57.xml"/><Relationship Id="rId119" Type="http://schemas.openxmlformats.org/officeDocument/2006/relationships/customXml" Target="../customXml/item62.xml"/><Relationship Id="rId127" Type="http://schemas.openxmlformats.org/officeDocument/2006/relationships/customXml" Target="../customXml/item70.xml"/><Relationship Id="rId10" Type="http://schemas.openxmlformats.org/officeDocument/2006/relationships/worksheet" Target="worksheets/sheet10.xml"/><Relationship Id="rId31" Type="http://schemas.openxmlformats.org/officeDocument/2006/relationships/pivotCacheDefinition" Target="pivotCache/pivotCacheDefinition18.xml"/><Relationship Id="rId44" Type="http://schemas.openxmlformats.org/officeDocument/2006/relationships/pivotCacheDefinition" Target="pivotCache/pivotCacheDefinition31.xml"/><Relationship Id="rId52" Type="http://schemas.openxmlformats.org/officeDocument/2006/relationships/connections" Target="connections.xml"/><Relationship Id="rId60" Type="http://schemas.openxmlformats.org/officeDocument/2006/relationships/customXml" Target="../customXml/item3.xml"/><Relationship Id="rId65" Type="http://schemas.openxmlformats.org/officeDocument/2006/relationships/customXml" Target="../customXml/item8.xml"/><Relationship Id="rId73" Type="http://schemas.openxmlformats.org/officeDocument/2006/relationships/customXml" Target="../customXml/item16.xml"/><Relationship Id="rId78" Type="http://schemas.openxmlformats.org/officeDocument/2006/relationships/customXml" Target="../customXml/item21.xml"/><Relationship Id="rId81" Type="http://schemas.openxmlformats.org/officeDocument/2006/relationships/customXml" Target="../customXml/item24.xml"/><Relationship Id="rId86" Type="http://schemas.openxmlformats.org/officeDocument/2006/relationships/customXml" Target="../customXml/item29.xml"/><Relationship Id="rId94" Type="http://schemas.openxmlformats.org/officeDocument/2006/relationships/customXml" Target="../customXml/item37.xml"/><Relationship Id="rId99" Type="http://schemas.openxmlformats.org/officeDocument/2006/relationships/customXml" Target="../customXml/item42.xml"/><Relationship Id="rId101" Type="http://schemas.openxmlformats.org/officeDocument/2006/relationships/customXml" Target="../customXml/item44.xml"/><Relationship Id="rId122" Type="http://schemas.openxmlformats.org/officeDocument/2006/relationships/customXml" Target="../customXml/item65.xml"/><Relationship Id="rId130" Type="http://schemas.openxmlformats.org/officeDocument/2006/relationships/customXml" Target="../customXml/item7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39" Type="http://schemas.openxmlformats.org/officeDocument/2006/relationships/pivotCacheDefinition" Target="pivotCache/pivotCacheDefinition26.xml"/><Relationship Id="rId109" Type="http://schemas.openxmlformats.org/officeDocument/2006/relationships/customXml" Target="../customXml/item52.xml"/><Relationship Id="rId34" Type="http://schemas.openxmlformats.org/officeDocument/2006/relationships/pivotCacheDefinition" Target="pivotCache/pivotCacheDefinition21.xml"/><Relationship Id="rId50" Type="http://schemas.openxmlformats.org/officeDocument/2006/relationships/pivotCacheDefinition" Target="pivotCache/pivotCacheDefinition37.xml"/><Relationship Id="rId55" Type="http://schemas.openxmlformats.org/officeDocument/2006/relationships/sheetMetadata" Target="metadata.xml"/><Relationship Id="rId76" Type="http://schemas.openxmlformats.org/officeDocument/2006/relationships/customXml" Target="../customXml/item19.xml"/><Relationship Id="rId97" Type="http://schemas.openxmlformats.org/officeDocument/2006/relationships/customXml" Target="../customXml/item40.xml"/><Relationship Id="rId104" Type="http://schemas.openxmlformats.org/officeDocument/2006/relationships/customXml" Target="../customXml/item47.xml"/><Relationship Id="rId120" Type="http://schemas.openxmlformats.org/officeDocument/2006/relationships/customXml" Target="../customXml/item63.xml"/><Relationship Id="rId125" Type="http://schemas.openxmlformats.org/officeDocument/2006/relationships/customXml" Target="../customXml/item68.xml"/><Relationship Id="rId7" Type="http://schemas.openxmlformats.org/officeDocument/2006/relationships/worksheet" Target="worksheets/sheet7.xml"/><Relationship Id="rId71" Type="http://schemas.openxmlformats.org/officeDocument/2006/relationships/customXml" Target="../customXml/item14.xml"/><Relationship Id="rId92" Type="http://schemas.openxmlformats.org/officeDocument/2006/relationships/customXml" Target="../customXml/item35.xml"/><Relationship Id="rId2" Type="http://schemas.openxmlformats.org/officeDocument/2006/relationships/worksheet" Target="worksheets/sheet2.xml"/><Relationship Id="rId29" Type="http://schemas.openxmlformats.org/officeDocument/2006/relationships/pivotCacheDefinition" Target="pivotCache/pivotCacheDefinition16.xml"/><Relationship Id="rId24" Type="http://schemas.openxmlformats.org/officeDocument/2006/relationships/pivotCacheDefinition" Target="pivotCache/pivotCacheDefinition11.xml"/><Relationship Id="rId40" Type="http://schemas.openxmlformats.org/officeDocument/2006/relationships/pivotCacheDefinition" Target="pivotCache/pivotCacheDefinition27.xml"/><Relationship Id="rId45" Type="http://schemas.openxmlformats.org/officeDocument/2006/relationships/pivotCacheDefinition" Target="pivotCache/pivotCacheDefinition32.xml"/><Relationship Id="rId66" Type="http://schemas.openxmlformats.org/officeDocument/2006/relationships/customXml" Target="../customXml/item9.xml"/><Relationship Id="rId87" Type="http://schemas.openxmlformats.org/officeDocument/2006/relationships/customXml" Target="../customXml/item30.xml"/><Relationship Id="rId110" Type="http://schemas.openxmlformats.org/officeDocument/2006/relationships/customXml" Target="../customXml/item53.xml"/><Relationship Id="rId115" Type="http://schemas.openxmlformats.org/officeDocument/2006/relationships/customXml" Target="../customXml/item58.xml"/><Relationship Id="rId131" Type="http://schemas.openxmlformats.org/officeDocument/2006/relationships/customXml" Target="../customXml/item74.xml"/><Relationship Id="rId61" Type="http://schemas.openxmlformats.org/officeDocument/2006/relationships/customXml" Target="../customXml/item4.xml"/><Relationship Id="rId82" Type="http://schemas.openxmlformats.org/officeDocument/2006/relationships/customXml" Target="../customXml/item2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GB" sz="900">
                <a:latin typeface="+mn-lt"/>
              </a:rPr>
              <a:t>A&amp;E</a:t>
            </a:r>
            <a:r>
              <a:rPr lang="en-GB" sz="900" baseline="0">
                <a:latin typeface="+mn-lt"/>
              </a:rPr>
              <a:t> diverts</a:t>
            </a:r>
            <a:endParaRPr lang="en-GB" sz="900">
              <a:latin typeface="+mn-lt"/>
            </a:endParaRPr>
          </a:p>
        </c:rich>
      </c:tx>
      <c:layout>
        <c:manualLayout>
          <c:xMode val="edge"/>
          <c:yMode val="edge"/>
          <c:x val="0.10845315902950396"/>
          <c:y val="2.1421041534893527E-2"/>
        </c:manualLayout>
      </c:layout>
      <c:overlay val="1"/>
    </c:title>
    <c:autoTitleDeleted val="0"/>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19/20</c:v>
                </c:pt>
              </c:strCache>
            </c:strRef>
          </c:tx>
          <c:spPr>
            <a:solidFill>
              <a:srgbClr val="29398F"/>
            </a:solidFill>
            <a:ln w="19050"/>
          </c:spPr>
          <c:invertIfNegative val="0"/>
          <c:val>
            <c:numRef>
              <c:f>Summary!$D$8:$P$8</c:f>
              <c:numCache>
                <c:formatCode>General</c:formatCode>
                <c:ptCount val="13"/>
                <c:pt idx="0">
                  <c:v>28</c:v>
                </c:pt>
                <c:pt idx="1">
                  <c:v>24</c:v>
                </c:pt>
                <c:pt idx="2">
                  <c:v>23</c:v>
                </c:pt>
                <c:pt idx="3">
                  <c:v>20</c:v>
                </c:pt>
                <c:pt idx="4">
                  <c:v>28</c:v>
                </c:pt>
                <c:pt idx="5">
                  <c:v>27</c:v>
                </c:pt>
                <c:pt idx="6">
                  <c:v>20</c:v>
                </c:pt>
                <c:pt idx="7">
                  <c:v>25</c:v>
                </c:pt>
                <c:pt idx="8">
                  <c:v>14</c:v>
                </c:pt>
                <c:pt idx="9">
                  <c:v>26</c:v>
                </c:pt>
                <c:pt idx="10">
                  <c:v>32</c:v>
                </c:pt>
                <c:pt idx="11">
                  <c:v>22</c:v>
                </c:pt>
                <c:pt idx="12">
                  <c:v>24</c:v>
                </c:pt>
              </c:numCache>
            </c:numRef>
          </c:val>
        </c:ser>
        <c:dLbls>
          <c:showLegendKey val="0"/>
          <c:showVal val="0"/>
          <c:showCatName val="0"/>
          <c:showSerName val="0"/>
          <c:showPercent val="0"/>
          <c:showBubbleSize val="0"/>
        </c:dLbls>
        <c:gapWidth val="50"/>
        <c:axId val="201815168"/>
        <c:axId val="210947456"/>
      </c:barChart>
      <c:lineChart>
        <c:grouping val="standard"/>
        <c:varyColors val="0"/>
        <c:ser>
          <c:idx val="0"/>
          <c:order val="0"/>
          <c:tx>
            <c:strRef>
              <c:f>Summary!$C$6</c:f>
              <c:strCache>
                <c:ptCount val="1"/>
                <c:pt idx="0">
                  <c:v>18/19</c:v>
                </c:pt>
              </c:strCache>
            </c:strRef>
          </c:tx>
          <c:spPr>
            <a:ln w="25400">
              <a:solidFill>
                <a:srgbClr val="C00848"/>
              </a:solidFill>
              <a:prstDash val="dash"/>
            </a:ln>
          </c:spPr>
          <c:marker>
            <c:symbol val="none"/>
          </c:marker>
          <c:val>
            <c:numRef>
              <c:f>Summary!$D$6:$P$6</c:f>
              <c:numCache>
                <c:formatCode>General</c:formatCode>
                <c:ptCount val="13"/>
                <c:pt idx="0">
                  <c:v>25</c:v>
                </c:pt>
                <c:pt idx="1">
                  <c:v>30</c:v>
                </c:pt>
                <c:pt idx="2">
                  <c:v>15</c:v>
                </c:pt>
                <c:pt idx="3">
                  <c:v>17</c:v>
                </c:pt>
                <c:pt idx="4">
                  <c:v>17</c:v>
                </c:pt>
                <c:pt idx="5">
                  <c:v>38</c:v>
                </c:pt>
                <c:pt idx="6">
                  <c:v>35</c:v>
                </c:pt>
                <c:pt idx="7">
                  <c:v>25</c:v>
                </c:pt>
                <c:pt idx="8">
                  <c:v>13</c:v>
                </c:pt>
                <c:pt idx="9">
                  <c:v>25</c:v>
                </c:pt>
                <c:pt idx="10">
                  <c:v>17</c:v>
                </c:pt>
                <c:pt idx="11">
                  <c:v>17</c:v>
                </c:pt>
                <c:pt idx="12">
                  <c:v>18</c:v>
                </c:pt>
              </c:numCache>
            </c:numRef>
          </c:val>
          <c:smooth val="0"/>
        </c:ser>
        <c:ser>
          <c:idx val="2"/>
          <c:order val="2"/>
          <c:tx>
            <c:v>17/18</c:v>
          </c:tx>
          <c:spPr>
            <a:ln w="25400" cmpd="sng">
              <a:solidFill>
                <a:srgbClr val="00A89C"/>
              </a:solidFill>
              <a:prstDash val="sysDot"/>
            </a:ln>
          </c:spPr>
          <c:marker>
            <c:symbol val="none"/>
          </c:marker>
          <c:val>
            <c:numRef>
              <c:f>Summary!$D$7:$P$7</c:f>
              <c:numCache>
                <c:formatCode>General</c:formatCode>
                <c:ptCount val="13"/>
                <c:pt idx="0">
                  <c:v>25</c:v>
                </c:pt>
                <c:pt idx="1">
                  <c:v>30</c:v>
                </c:pt>
                <c:pt idx="2">
                  <c:v>6</c:v>
                </c:pt>
                <c:pt idx="3">
                  <c:v>39</c:v>
                </c:pt>
                <c:pt idx="4">
                  <c:v>32</c:v>
                </c:pt>
                <c:pt idx="5">
                  <c:v>6</c:v>
                </c:pt>
                <c:pt idx="6">
                  <c:v>20</c:v>
                </c:pt>
                <c:pt idx="7">
                  <c:v>43</c:v>
                </c:pt>
                <c:pt idx="8">
                  <c:v>36</c:v>
                </c:pt>
                <c:pt idx="9">
                  <c:v>30</c:v>
                </c:pt>
                <c:pt idx="10">
                  <c:v>23</c:v>
                </c:pt>
                <c:pt idx="11">
                  <c:v>13</c:v>
                </c:pt>
                <c:pt idx="12">
                  <c:v>33</c:v>
                </c:pt>
              </c:numCache>
            </c:numRef>
          </c:val>
          <c:smooth val="0"/>
        </c:ser>
        <c:dLbls>
          <c:showLegendKey val="0"/>
          <c:showVal val="0"/>
          <c:showCatName val="0"/>
          <c:showSerName val="0"/>
          <c:showPercent val="0"/>
          <c:showBubbleSize val="0"/>
        </c:dLbls>
        <c:marker val="1"/>
        <c:smooth val="0"/>
        <c:axId val="201815168"/>
        <c:axId val="210947456"/>
      </c:lineChart>
      <c:catAx>
        <c:axId val="201815168"/>
        <c:scaling>
          <c:orientation val="minMax"/>
        </c:scaling>
        <c:delete val="0"/>
        <c:axPos val="b"/>
        <c:title>
          <c:tx>
            <c:rich>
              <a:bodyPr/>
              <a:lstStyle/>
              <a:p>
                <a:pPr>
                  <a:defRPr/>
                </a:pPr>
                <a:r>
                  <a:rPr lang="en-US"/>
                  <a:t>Week</a:t>
                </a:r>
              </a:p>
            </c:rich>
          </c:tx>
          <c:layout/>
          <c:overlay val="0"/>
        </c:title>
        <c:numFmt formatCode="General" sourceLinked="0"/>
        <c:majorTickMark val="out"/>
        <c:minorTickMark val="none"/>
        <c:tickLblPos val="nextTo"/>
        <c:spPr>
          <a:ln w="3175">
            <a:solidFill>
              <a:srgbClr val="9DA6AB"/>
            </a:solidFill>
          </a:ln>
        </c:spPr>
        <c:txPr>
          <a:bodyPr/>
          <a:lstStyle/>
          <a:p>
            <a:pPr>
              <a:defRPr sz="800" b="1"/>
            </a:pPr>
            <a:endParaRPr lang="en-US"/>
          </a:p>
        </c:txPr>
        <c:crossAx val="210947456"/>
        <c:crosses val="autoZero"/>
        <c:auto val="1"/>
        <c:lblAlgn val="ctr"/>
        <c:lblOffset val="100"/>
        <c:noMultiLvlLbl val="0"/>
      </c:catAx>
      <c:valAx>
        <c:axId val="210947456"/>
        <c:scaling>
          <c:orientation val="minMax"/>
        </c:scaling>
        <c:delete val="0"/>
        <c:axPos val="l"/>
        <c:numFmt formatCode="General" sourceLinked="1"/>
        <c:majorTickMark val="out"/>
        <c:minorTickMark val="none"/>
        <c:tickLblPos val="nextTo"/>
        <c:spPr>
          <a:ln w="50800">
            <a:solidFill>
              <a:srgbClr val="CED8DD"/>
            </a:solidFill>
          </a:ln>
        </c:spPr>
        <c:txPr>
          <a:bodyPr/>
          <a:lstStyle/>
          <a:p>
            <a:pPr>
              <a:defRPr sz="800" b="1"/>
            </a:pPr>
            <a:endParaRPr lang="en-US"/>
          </a:p>
        </c:txPr>
        <c:crossAx val="201815168"/>
        <c:crosses val="autoZero"/>
        <c:crossBetween val="between"/>
      </c:valAx>
    </c:plotArea>
    <c:legend>
      <c:legendPos val="r"/>
      <c:layout>
        <c:manualLayout>
          <c:xMode val="edge"/>
          <c:yMode val="edge"/>
          <c:x val="0.45946238005719103"/>
          <c:y val="7.8916297701876453E-3"/>
          <c:w val="0.53460784776558379"/>
          <c:h val="0.1312426734134513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0"/>
          <c:tx>
            <c:strRef>
              <c:f>Summary!$C$222</c:f>
              <c:strCache>
                <c:ptCount val="1"/>
                <c:pt idx="0">
                  <c:v>19/20</c:v>
                </c:pt>
              </c:strCache>
            </c:strRef>
          </c:tx>
          <c:spPr>
            <a:solidFill>
              <a:srgbClr val="29398F"/>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Summary!$D$222:$P$222</c:f>
              <c:numCache>
                <c:formatCode>#,##0</c:formatCode>
                <c:ptCount val="13"/>
                <c:pt idx="0">
                  <c:v>100129</c:v>
                </c:pt>
                <c:pt idx="1">
                  <c:v>99958</c:v>
                </c:pt>
                <c:pt idx="2">
                  <c:v>100884</c:v>
                </c:pt>
                <c:pt idx="3">
                  <c:v>98558</c:v>
                </c:pt>
                <c:pt idx="4">
                  <c:v>100569</c:v>
                </c:pt>
                <c:pt idx="5">
                  <c:v>95738</c:v>
                </c:pt>
                <c:pt idx="6">
                  <c:v>94512</c:v>
                </c:pt>
                <c:pt idx="7">
                  <c:v>93701</c:v>
                </c:pt>
                <c:pt idx="8">
                  <c:v>96519</c:v>
                </c:pt>
                <c:pt idx="9">
                  <c:v>93938</c:v>
                </c:pt>
                <c:pt idx="10">
                  <c:v>94510</c:v>
                </c:pt>
                <c:pt idx="11">
                  <c:v>94740</c:v>
                </c:pt>
                <c:pt idx="12">
                  <c:v>93874</c:v>
                </c:pt>
              </c:numCache>
            </c:numRef>
          </c:val>
        </c:ser>
        <c:dLbls>
          <c:showLegendKey val="0"/>
          <c:showVal val="0"/>
          <c:showCatName val="0"/>
          <c:showSerName val="0"/>
          <c:showPercent val="0"/>
          <c:showBubbleSize val="0"/>
        </c:dLbls>
        <c:gapWidth val="50"/>
        <c:axId val="561978752"/>
        <c:axId val="561982848"/>
      </c:barChart>
      <c:lineChart>
        <c:grouping val="standard"/>
        <c:varyColors val="0"/>
        <c:ser>
          <c:idx val="0"/>
          <c:order val="1"/>
          <c:tx>
            <c:strRef>
              <c:f>Summary!$C$220</c:f>
              <c:strCache>
                <c:ptCount val="1"/>
                <c:pt idx="0">
                  <c:v>18/19</c:v>
                </c:pt>
              </c:strCache>
            </c:strRef>
          </c:tx>
          <c:spPr>
            <a:ln w="25400">
              <a:solidFill>
                <a:srgbClr val="C00848"/>
              </a:solidFill>
              <a:prstDash val="dash"/>
            </a:ln>
          </c:spPr>
          <c:marker>
            <c:symbol val="none"/>
          </c:marker>
          <c:val>
            <c:numRef>
              <c:f>Summary!$D$220:$P$220</c:f>
              <c:numCache>
                <c:formatCode>#,##0</c:formatCode>
                <c:ptCount val="13"/>
                <c:pt idx="0">
                  <c:v>97472</c:v>
                </c:pt>
                <c:pt idx="1">
                  <c:v>96284</c:v>
                </c:pt>
                <c:pt idx="2">
                  <c:v>99091</c:v>
                </c:pt>
                <c:pt idx="3">
                  <c:v>99156</c:v>
                </c:pt>
                <c:pt idx="4">
                  <c:v>101949</c:v>
                </c:pt>
                <c:pt idx="5">
                  <c:v>98751</c:v>
                </c:pt>
                <c:pt idx="6">
                  <c:v>97577</c:v>
                </c:pt>
                <c:pt idx="7">
                  <c:v>98072</c:v>
                </c:pt>
                <c:pt idx="8">
                  <c:v>97620</c:v>
                </c:pt>
                <c:pt idx="9">
                  <c:v>99971</c:v>
                </c:pt>
                <c:pt idx="10">
                  <c:v>98237</c:v>
                </c:pt>
                <c:pt idx="11">
                  <c:v>95289</c:v>
                </c:pt>
                <c:pt idx="12">
                  <c:v>93927</c:v>
                </c:pt>
              </c:numCache>
            </c:numRef>
          </c:val>
          <c:smooth val="0"/>
        </c:ser>
        <c:ser>
          <c:idx val="2"/>
          <c:order val="2"/>
          <c:tx>
            <c:v>17/18</c:v>
          </c:tx>
          <c:spPr>
            <a:ln w="25400">
              <a:solidFill>
                <a:srgbClr val="00A89C"/>
              </a:solidFill>
              <a:prstDash val="sysDot"/>
            </a:ln>
          </c:spPr>
          <c:marker>
            <c:symbol val="none"/>
          </c:marker>
          <c:val>
            <c:numRef>
              <c:f>Summary!$D$219:$P$219</c:f>
              <c:numCache>
                <c:formatCode>General</c:formatCode>
                <c:ptCount val="13"/>
                <c:pt idx="0">
                  <c:v>94584</c:v>
                </c:pt>
                <c:pt idx="1">
                  <c:v>95392</c:v>
                </c:pt>
                <c:pt idx="2">
                  <c:v>95546</c:v>
                </c:pt>
                <c:pt idx="3">
                  <c:v>97706</c:v>
                </c:pt>
                <c:pt idx="4">
                  <c:v>97072</c:v>
                </c:pt>
                <c:pt idx="5">
                  <c:v>93351</c:v>
                </c:pt>
                <c:pt idx="6">
                  <c:v>91968</c:v>
                </c:pt>
                <c:pt idx="7">
                  <c:v>93301</c:v>
                </c:pt>
                <c:pt idx="8">
                  <c:v>93460</c:v>
                </c:pt>
                <c:pt idx="9">
                  <c:v>92915</c:v>
                </c:pt>
                <c:pt idx="10">
                  <c:v>93201</c:v>
                </c:pt>
                <c:pt idx="11">
                  <c:v>93456</c:v>
                </c:pt>
                <c:pt idx="12">
                  <c:v>90799</c:v>
                </c:pt>
              </c:numCache>
            </c:numRef>
          </c:val>
          <c:smooth val="0"/>
        </c:ser>
        <c:dLbls>
          <c:showLegendKey val="0"/>
          <c:showVal val="0"/>
          <c:showCatName val="0"/>
          <c:showSerName val="0"/>
          <c:showPercent val="0"/>
          <c:showBubbleSize val="0"/>
        </c:dLbls>
        <c:marker val="1"/>
        <c:smooth val="0"/>
        <c:axId val="561978752"/>
        <c:axId val="561982848"/>
      </c:lineChart>
      <c:catAx>
        <c:axId val="561978752"/>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61982848"/>
        <c:crosses val="autoZero"/>
        <c:auto val="1"/>
        <c:lblAlgn val="ctr"/>
        <c:lblOffset val="100"/>
        <c:noMultiLvlLbl val="0"/>
      </c:catAx>
      <c:valAx>
        <c:axId val="561982848"/>
        <c:scaling>
          <c:orientation val="minMax"/>
          <c:min val="8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61978752"/>
        <c:crosses val="autoZero"/>
        <c:crossBetween val="between"/>
        <c:majorUnit val="5000"/>
      </c:valAx>
    </c:plotArea>
    <c:legend>
      <c:legendPos val="r"/>
      <c:layout>
        <c:manualLayout>
          <c:xMode val="edge"/>
          <c:yMode val="edge"/>
          <c:x val="0.52306683507564966"/>
          <c:y val="3.1773672521704034E-3"/>
          <c:w val="0.46505119453924915"/>
          <c:h val="0.10450312275115937"/>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Summary!$C$246</c:f>
              <c:strCache>
                <c:ptCount val="1"/>
                <c:pt idx="0">
                  <c:v>19/20</c:v>
                </c:pt>
              </c:strCache>
            </c:strRef>
          </c:tx>
          <c:spPr>
            <a:solidFill>
              <a:srgbClr val="29398F"/>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Summary!$D$246:$P$246</c:f>
              <c:numCache>
                <c:formatCode>0.0%</c:formatCode>
                <c:ptCount val="13"/>
                <c:pt idx="0">
                  <c:v>3.1749043733583678E-2</c:v>
                </c:pt>
                <c:pt idx="1">
                  <c:v>4.4708777686628384E-2</c:v>
                </c:pt>
                <c:pt idx="2">
                  <c:v>4.9462749296221402E-2</c:v>
                </c:pt>
                <c:pt idx="3">
                  <c:v>3.6506422614095251E-2</c:v>
                </c:pt>
                <c:pt idx="4">
                  <c:v>5.3962950809891719E-2</c:v>
                </c:pt>
                <c:pt idx="5">
                  <c:v>4.3859282625498756E-2</c:v>
                </c:pt>
                <c:pt idx="6">
                  <c:v>2.7287540206534618E-2</c:v>
                </c:pt>
                <c:pt idx="7">
                  <c:v>2.0383987364062283E-2</c:v>
                </c:pt>
                <c:pt idx="8">
                  <c:v>3.035671733026658E-2</c:v>
                </c:pt>
                <c:pt idx="9">
                  <c:v>2.4111648108326767E-2</c:v>
                </c:pt>
                <c:pt idx="10">
                  <c:v>2.2643106549571475E-2</c:v>
                </c:pt>
                <c:pt idx="11">
                  <c:v>2.096263457884737E-2</c:v>
                </c:pt>
                <c:pt idx="12">
                  <c:v>2.56727102286043E-2</c:v>
                </c:pt>
              </c:numCache>
            </c:numRef>
          </c:val>
        </c:ser>
        <c:dLbls>
          <c:showLegendKey val="0"/>
          <c:showVal val="0"/>
          <c:showCatName val="0"/>
          <c:showSerName val="0"/>
          <c:showPercent val="0"/>
          <c:showBubbleSize val="0"/>
        </c:dLbls>
        <c:gapWidth val="50"/>
        <c:axId val="562204672"/>
        <c:axId val="562207744"/>
      </c:barChart>
      <c:lineChart>
        <c:grouping val="standard"/>
        <c:varyColors val="0"/>
        <c:ser>
          <c:idx val="0"/>
          <c:order val="1"/>
          <c:tx>
            <c:strRef>
              <c:f>Summary!$C$244</c:f>
              <c:strCache>
                <c:ptCount val="1"/>
                <c:pt idx="0">
                  <c:v>18/19</c:v>
                </c:pt>
              </c:strCache>
            </c:strRef>
          </c:tx>
          <c:spPr>
            <a:ln w="25400">
              <a:solidFill>
                <a:srgbClr val="C00848"/>
              </a:solidFill>
              <a:prstDash val="sysDash"/>
            </a:ln>
          </c:spPr>
          <c:marker>
            <c:symbol val="none"/>
          </c:marker>
          <c:val>
            <c:numRef>
              <c:f>Summary!$D$244:$P$244</c:f>
              <c:numCache>
                <c:formatCode>0.0%</c:formatCode>
                <c:ptCount val="13"/>
                <c:pt idx="0">
                  <c:v>1.9892892317793828E-2</c:v>
                </c:pt>
                <c:pt idx="1">
                  <c:v>1.5485438909891571E-2</c:v>
                </c:pt>
                <c:pt idx="2">
                  <c:v>1.7599983853225823E-2</c:v>
                </c:pt>
                <c:pt idx="3">
                  <c:v>1.8455766670700716E-2</c:v>
                </c:pt>
                <c:pt idx="4">
                  <c:v>2.9289154381112126E-2</c:v>
                </c:pt>
                <c:pt idx="5">
                  <c:v>2.804022237749491E-2</c:v>
                </c:pt>
                <c:pt idx="6">
                  <c:v>2.3868329626858788E-2</c:v>
                </c:pt>
                <c:pt idx="7">
                  <c:v>2.5999999999999999E-2</c:v>
                </c:pt>
                <c:pt idx="8">
                  <c:v>2.6849006351157549E-2</c:v>
                </c:pt>
                <c:pt idx="9">
                  <c:v>3.0728911384301446E-2</c:v>
                </c:pt>
                <c:pt idx="10">
                  <c:v>2.4888789356352494E-2</c:v>
                </c:pt>
                <c:pt idx="11">
                  <c:v>2.2353052293549096E-2</c:v>
                </c:pt>
                <c:pt idx="12">
                  <c:v>1.8184334642860945E-2</c:v>
                </c:pt>
              </c:numCache>
            </c:numRef>
          </c:val>
          <c:smooth val="0"/>
        </c:ser>
        <c:ser>
          <c:idx val="2"/>
          <c:order val="2"/>
          <c:tx>
            <c:v>17/18</c:v>
          </c:tx>
          <c:spPr>
            <a:ln w="25400">
              <a:solidFill>
                <a:srgbClr val="00A89C"/>
              </a:solidFill>
              <a:prstDash val="sysDot"/>
            </a:ln>
          </c:spPr>
          <c:marker>
            <c:symbol val="none"/>
          </c:marker>
          <c:val>
            <c:numRef>
              <c:f>Summary!$D$243:$P$243</c:f>
              <c:numCache>
                <c:formatCode>0.0%</c:formatCode>
                <c:ptCount val="13"/>
                <c:pt idx="0">
                  <c:v>2.4708195889368182E-2</c:v>
                </c:pt>
                <c:pt idx="1">
                  <c:v>3.5893995303589402E-2</c:v>
                </c:pt>
                <c:pt idx="2">
                  <c:v>2.5254851066502E-2</c:v>
                </c:pt>
                <c:pt idx="3">
                  <c:v>4.8451476879618448E-2</c:v>
                </c:pt>
                <c:pt idx="4">
                  <c:v>5.2352892698203396E-2</c:v>
                </c:pt>
                <c:pt idx="5">
                  <c:v>2.8066116056603571E-2</c:v>
                </c:pt>
                <c:pt idx="6">
                  <c:v>2.4149704244954766E-2</c:v>
                </c:pt>
                <c:pt idx="7">
                  <c:v>2.2968671289696787E-2</c:v>
                </c:pt>
                <c:pt idx="8">
                  <c:v>2.4802054354804193E-2</c:v>
                </c:pt>
                <c:pt idx="9">
                  <c:v>2.3989667976107194E-2</c:v>
                </c:pt>
                <c:pt idx="10">
                  <c:v>3.1630561903842232E-2</c:v>
                </c:pt>
                <c:pt idx="11">
                  <c:v>3.1E-2</c:v>
                </c:pt>
                <c:pt idx="12">
                  <c:v>2.7786649632705204E-2</c:v>
                </c:pt>
              </c:numCache>
            </c:numRef>
          </c:val>
          <c:smooth val="0"/>
        </c:ser>
        <c:dLbls>
          <c:showLegendKey val="0"/>
          <c:showVal val="0"/>
          <c:showCatName val="0"/>
          <c:showSerName val="0"/>
          <c:showPercent val="0"/>
          <c:showBubbleSize val="0"/>
        </c:dLbls>
        <c:marker val="1"/>
        <c:smooth val="0"/>
        <c:axId val="562204672"/>
        <c:axId val="562207744"/>
      </c:lineChart>
      <c:catAx>
        <c:axId val="562204672"/>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62207744"/>
        <c:crosses val="autoZero"/>
        <c:auto val="1"/>
        <c:lblAlgn val="ctr"/>
        <c:lblOffset val="100"/>
        <c:noMultiLvlLbl val="0"/>
      </c:catAx>
      <c:valAx>
        <c:axId val="562207744"/>
        <c:scaling>
          <c:orientation val="minMax"/>
        </c:scaling>
        <c:delete val="0"/>
        <c:axPos val="l"/>
        <c:numFmt formatCode="0.0%" sourceLinked="0"/>
        <c:majorTickMark val="none"/>
        <c:minorTickMark val="none"/>
        <c:tickLblPos val="nextTo"/>
        <c:spPr>
          <a:ln w="50800">
            <a:solidFill>
              <a:srgbClr val="CED8DD"/>
            </a:solidFill>
          </a:ln>
        </c:spPr>
        <c:txPr>
          <a:bodyPr/>
          <a:lstStyle/>
          <a:p>
            <a:pPr>
              <a:defRPr sz="800" b="1"/>
            </a:pPr>
            <a:endParaRPr lang="en-US"/>
          </a:p>
        </c:txPr>
        <c:crossAx val="562204672"/>
        <c:crosses val="autoZero"/>
        <c:crossBetween val="between"/>
      </c:valAx>
    </c:plotArea>
    <c:legend>
      <c:legendPos val="r"/>
      <c:layout>
        <c:manualLayout>
          <c:xMode val="edge"/>
          <c:yMode val="edge"/>
          <c:x val="0.55005014468760471"/>
          <c:y val="9.553811081287656E-3"/>
          <c:w val="0.44225890529973938"/>
          <c:h val="0.12522418605333518"/>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810209068694"/>
          <c:y val="6.2453792567241574E-2"/>
          <c:w val="0.90911089238845144"/>
          <c:h val="0.74377762365196576"/>
        </c:manualLayout>
      </c:layout>
      <c:barChart>
        <c:barDir val="col"/>
        <c:grouping val="clustered"/>
        <c:varyColors val="0"/>
        <c:ser>
          <c:idx val="1"/>
          <c:order val="1"/>
          <c:tx>
            <c:strRef>
              <c:f>Summary!$C$24</c:f>
              <c:strCache>
                <c:ptCount val="1"/>
                <c:pt idx="0">
                  <c:v>19/20</c:v>
                </c:pt>
              </c:strCache>
            </c:strRef>
          </c:tx>
          <c:spPr>
            <a:solidFill>
              <a:srgbClr val="29398F"/>
            </a:solidFill>
          </c:spPr>
          <c:invertIfNegative val="0"/>
          <c:val>
            <c:numRef>
              <c:f>Summary!$D$24:$P$24</c:f>
              <c:numCache>
                <c:formatCode>#,##0</c:formatCode>
                <c:ptCount val="13"/>
                <c:pt idx="0">
                  <c:v>93502.857142857145</c:v>
                </c:pt>
                <c:pt idx="1">
                  <c:v>93719</c:v>
                </c:pt>
                <c:pt idx="2">
                  <c:v>93699.28571428571</c:v>
                </c:pt>
                <c:pt idx="3">
                  <c:v>93230.428571428565</c:v>
                </c:pt>
                <c:pt idx="4">
                  <c:v>93207.71428571429</c:v>
                </c:pt>
                <c:pt idx="5">
                  <c:v>93977</c:v>
                </c:pt>
                <c:pt idx="6">
                  <c:v>94063.28571428571</c:v>
                </c:pt>
                <c:pt idx="7">
                  <c:v>94130.142857142855</c:v>
                </c:pt>
                <c:pt idx="8">
                  <c:v>93986.71428571429</c:v>
                </c:pt>
                <c:pt idx="9">
                  <c:v>93993.857142857145</c:v>
                </c:pt>
                <c:pt idx="10">
                  <c:v>94272</c:v>
                </c:pt>
                <c:pt idx="11">
                  <c:v>94287.71428571429</c:v>
                </c:pt>
                <c:pt idx="12">
                  <c:v>94002.71428571429</c:v>
                </c:pt>
              </c:numCache>
            </c:numRef>
          </c:val>
        </c:ser>
        <c:dLbls>
          <c:showLegendKey val="0"/>
          <c:showVal val="0"/>
          <c:showCatName val="0"/>
          <c:showSerName val="0"/>
          <c:showPercent val="0"/>
          <c:showBubbleSize val="0"/>
        </c:dLbls>
        <c:gapWidth val="50"/>
        <c:axId val="562561408"/>
        <c:axId val="562563712"/>
      </c:barChart>
      <c:lineChart>
        <c:grouping val="standard"/>
        <c:varyColors val="0"/>
        <c:ser>
          <c:idx val="0"/>
          <c:order val="0"/>
          <c:tx>
            <c:strRef>
              <c:f>Summary!$C$22</c:f>
              <c:strCache>
                <c:ptCount val="1"/>
                <c:pt idx="0">
                  <c:v>18/19</c:v>
                </c:pt>
              </c:strCache>
            </c:strRef>
          </c:tx>
          <c:spPr>
            <a:ln w="25400">
              <a:solidFill>
                <a:srgbClr val="C00848"/>
              </a:solidFill>
              <a:prstDash val="dash"/>
            </a:ln>
          </c:spPr>
          <c:marker>
            <c:symbol val="none"/>
          </c:marker>
          <c:val>
            <c:numRef>
              <c:f>Summary!$D$22:$P$22</c:f>
              <c:numCache>
                <c:formatCode>#,##0</c:formatCode>
                <c:ptCount val="13"/>
                <c:pt idx="0">
                  <c:v>93649.571428571435</c:v>
                </c:pt>
                <c:pt idx="1">
                  <c:v>93473.142857142855</c:v>
                </c:pt>
                <c:pt idx="2">
                  <c:v>93407.857142857145</c:v>
                </c:pt>
                <c:pt idx="3">
                  <c:v>92975.571428571435</c:v>
                </c:pt>
                <c:pt idx="4">
                  <c:v>93152.428571428565</c:v>
                </c:pt>
                <c:pt idx="5">
                  <c:v>93636.28571428571</c:v>
                </c:pt>
                <c:pt idx="6">
                  <c:v>93877.142857142855</c:v>
                </c:pt>
                <c:pt idx="7">
                  <c:v>93919.28571428571</c:v>
                </c:pt>
                <c:pt idx="8">
                  <c:v>94246.428571428565</c:v>
                </c:pt>
                <c:pt idx="9">
                  <c:v>94095.857142857145</c:v>
                </c:pt>
                <c:pt idx="10">
                  <c:v>94323</c:v>
                </c:pt>
                <c:pt idx="11">
                  <c:v>94216.428571428565</c:v>
                </c:pt>
                <c:pt idx="12">
                  <c:v>94254.28571428571</c:v>
                </c:pt>
              </c:numCache>
            </c:numRef>
          </c:val>
          <c:smooth val="0"/>
        </c:ser>
        <c:ser>
          <c:idx val="2"/>
          <c:order val="2"/>
          <c:tx>
            <c:v>17/18</c:v>
          </c:tx>
          <c:spPr>
            <a:ln w="25400">
              <a:solidFill>
                <a:srgbClr val="00A89C"/>
              </a:solidFill>
              <a:prstDash val="sysDot"/>
            </a:ln>
          </c:spPr>
          <c:marker>
            <c:symbol val="none"/>
          </c:marker>
          <c:val>
            <c:numRef>
              <c:f>Summary!$D$21:$P$21</c:f>
              <c:numCache>
                <c:formatCode>General</c:formatCode>
                <c:ptCount val="13"/>
                <c:pt idx="0">
                  <c:v>93650.428571428565</c:v>
                </c:pt>
                <c:pt idx="1">
                  <c:v>93161.71428571429</c:v>
                </c:pt>
                <c:pt idx="2">
                  <c:v>92488.71428571429</c:v>
                </c:pt>
                <c:pt idx="3">
                  <c:v>93346.71428571429</c:v>
                </c:pt>
                <c:pt idx="4">
                  <c:v>93925.857142857145</c:v>
                </c:pt>
                <c:pt idx="5">
                  <c:v>94001.571428571435</c:v>
                </c:pt>
                <c:pt idx="6">
                  <c:v>93775.71428571429</c:v>
                </c:pt>
                <c:pt idx="7">
                  <c:v>93805.28571428571</c:v>
                </c:pt>
                <c:pt idx="8">
                  <c:v>94035.71428571429</c:v>
                </c:pt>
                <c:pt idx="9">
                  <c:v>93641</c:v>
                </c:pt>
                <c:pt idx="10">
                  <c:v>93906.571428571435</c:v>
                </c:pt>
                <c:pt idx="11">
                  <c:v>94013.142857142855</c:v>
                </c:pt>
                <c:pt idx="12">
                  <c:v>93559.428571428565</c:v>
                </c:pt>
              </c:numCache>
            </c:numRef>
          </c:val>
          <c:smooth val="0"/>
        </c:ser>
        <c:dLbls>
          <c:showLegendKey val="0"/>
          <c:showVal val="0"/>
          <c:showCatName val="0"/>
          <c:showSerName val="0"/>
          <c:showPercent val="0"/>
          <c:showBubbleSize val="0"/>
        </c:dLbls>
        <c:marker val="1"/>
        <c:smooth val="0"/>
        <c:axId val="562561408"/>
        <c:axId val="562563712"/>
      </c:lineChart>
      <c:catAx>
        <c:axId val="562561408"/>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562563712"/>
        <c:crosses val="autoZero"/>
        <c:auto val="1"/>
        <c:lblAlgn val="ctr"/>
        <c:lblOffset val="100"/>
        <c:noMultiLvlLbl val="0"/>
      </c:catAx>
      <c:valAx>
        <c:axId val="562563712"/>
        <c:scaling>
          <c:orientation val="minMax"/>
          <c:min val="9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62561408"/>
        <c:crosses val="autoZero"/>
        <c:crossBetween val="between"/>
      </c:valAx>
    </c:plotArea>
    <c:legend>
      <c:legendPos val="r"/>
      <c:layout>
        <c:manualLayout>
          <c:xMode val="edge"/>
          <c:yMode val="edge"/>
          <c:x val="0.48000027151778446"/>
          <c:y val="2.6327389857099719E-3"/>
          <c:w val="0.5181379310344828"/>
          <c:h val="0.11299864978844372"/>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82361111111112"/>
          <c:y val="6.2453703703703713E-2"/>
          <c:w val="0.87398333333333333"/>
          <c:h val="0.74377762365196576"/>
        </c:manualLayout>
      </c:layout>
      <c:barChart>
        <c:barDir val="col"/>
        <c:grouping val="clustered"/>
        <c:varyColors val="0"/>
        <c:ser>
          <c:idx val="1"/>
          <c:order val="1"/>
          <c:tx>
            <c:strRef>
              <c:f>Summary!$C$38</c:f>
              <c:strCache>
                <c:ptCount val="1"/>
                <c:pt idx="0">
                  <c:v>19/20</c:v>
                </c:pt>
              </c:strCache>
            </c:strRef>
          </c:tx>
          <c:spPr>
            <a:solidFill>
              <a:srgbClr val="29398F"/>
            </a:solidFill>
          </c:spPr>
          <c:invertIfNegative val="0"/>
          <c:val>
            <c:numRef>
              <c:f>Summary!$D$38:$P$38</c:f>
              <c:numCache>
                <c:formatCode>#,##0</c:formatCode>
                <c:ptCount val="13"/>
                <c:pt idx="0">
                  <c:v>3172.1428571428573</c:v>
                </c:pt>
                <c:pt idx="1">
                  <c:v>3348.7142857142858</c:v>
                </c:pt>
                <c:pt idx="2">
                  <c:v>3318.5714285714284</c:v>
                </c:pt>
                <c:pt idx="3">
                  <c:v>2586.2857142857142</c:v>
                </c:pt>
                <c:pt idx="4">
                  <c:v>3935.4285714285716</c:v>
                </c:pt>
                <c:pt idx="5">
                  <c:v>4440.5714285714284</c:v>
                </c:pt>
                <c:pt idx="6">
                  <c:v>4141</c:v>
                </c:pt>
                <c:pt idx="7">
                  <c:v>3859.8571428571427</c:v>
                </c:pt>
                <c:pt idx="8">
                  <c:v>4044.4285714285716</c:v>
                </c:pt>
                <c:pt idx="9">
                  <c:v>3860.8571428571427</c:v>
                </c:pt>
                <c:pt idx="10">
                  <c:v>3588.1428571428573</c:v>
                </c:pt>
                <c:pt idx="11">
                  <c:v>3502.5714285714284</c:v>
                </c:pt>
                <c:pt idx="12">
                  <c:v>3551.1428571428573</c:v>
                </c:pt>
              </c:numCache>
            </c:numRef>
          </c:val>
        </c:ser>
        <c:dLbls>
          <c:showLegendKey val="0"/>
          <c:showVal val="0"/>
          <c:showCatName val="0"/>
          <c:showSerName val="0"/>
          <c:showPercent val="0"/>
          <c:showBubbleSize val="0"/>
        </c:dLbls>
        <c:gapWidth val="50"/>
        <c:axId val="562857088"/>
        <c:axId val="562859392"/>
      </c:barChart>
      <c:lineChart>
        <c:grouping val="standard"/>
        <c:varyColors val="0"/>
        <c:ser>
          <c:idx val="0"/>
          <c:order val="0"/>
          <c:tx>
            <c:strRef>
              <c:f>Summary!$C$36</c:f>
              <c:strCache>
                <c:ptCount val="1"/>
                <c:pt idx="0">
                  <c:v>18/19</c:v>
                </c:pt>
              </c:strCache>
            </c:strRef>
          </c:tx>
          <c:spPr>
            <a:ln w="25400">
              <a:solidFill>
                <a:srgbClr val="C00848"/>
              </a:solidFill>
              <a:prstDash val="dash"/>
            </a:ln>
          </c:spPr>
          <c:marker>
            <c:symbol val="none"/>
          </c:marker>
          <c:val>
            <c:numRef>
              <c:f>Summary!$D$36:$P$36</c:f>
              <c:numCache>
                <c:formatCode>#,##0</c:formatCode>
                <c:ptCount val="13"/>
                <c:pt idx="0">
                  <c:v>2399.8571428571427</c:v>
                </c:pt>
                <c:pt idx="1">
                  <c:v>2249.5714285714284</c:v>
                </c:pt>
                <c:pt idx="2">
                  <c:v>1987.4285714285713</c:v>
                </c:pt>
                <c:pt idx="3">
                  <c:v>1727.8571428571429</c:v>
                </c:pt>
                <c:pt idx="4">
                  <c:v>3065.8571428571427</c:v>
                </c:pt>
                <c:pt idx="5">
                  <c:v>3611.7142857142858</c:v>
                </c:pt>
                <c:pt idx="6">
                  <c:v>3702.8571428571427</c:v>
                </c:pt>
                <c:pt idx="7">
                  <c:v>3630</c:v>
                </c:pt>
                <c:pt idx="8">
                  <c:v>3882.8571428571427</c:v>
                </c:pt>
                <c:pt idx="9">
                  <c:v>4015.2857142857142</c:v>
                </c:pt>
                <c:pt idx="10">
                  <c:v>3861.5714285714284</c:v>
                </c:pt>
                <c:pt idx="11">
                  <c:v>3602.7142857142858</c:v>
                </c:pt>
                <c:pt idx="12">
                  <c:v>3373.5714285714284</c:v>
                </c:pt>
              </c:numCache>
            </c:numRef>
          </c:val>
          <c:smooth val="0"/>
        </c:ser>
        <c:ser>
          <c:idx val="2"/>
          <c:order val="2"/>
          <c:tx>
            <c:v>17/18</c:v>
          </c:tx>
          <c:spPr>
            <a:ln w="25400">
              <a:solidFill>
                <a:srgbClr val="00A89C"/>
              </a:solidFill>
              <a:prstDash val="sysDot"/>
            </a:ln>
          </c:spPr>
          <c:marker>
            <c:symbol val="none"/>
          </c:marker>
          <c:val>
            <c:numRef>
              <c:f>Summary!$D$35:$P$35</c:f>
              <c:numCache>
                <c:formatCode>General</c:formatCode>
                <c:ptCount val="13"/>
                <c:pt idx="0">
                  <c:v>2560.2857142857142</c:v>
                </c:pt>
                <c:pt idx="1">
                  <c:v>2922.5714285714284</c:v>
                </c:pt>
                <c:pt idx="2">
                  <c:v>2430.2857142857142</c:v>
                </c:pt>
                <c:pt idx="3">
                  <c:v>2778.7142857142858</c:v>
                </c:pt>
                <c:pt idx="4">
                  <c:v>4699.4285714285716</c:v>
                </c:pt>
                <c:pt idx="5">
                  <c:v>4626</c:v>
                </c:pt>
                <c:pt idx="6">
                  <c:v>4468.1428571428569</c:v>
                </c:pt>
                <c:pt idx="7">
                  <c:v>4527.1428571428569</c:v>
                </c:pt>
                <c:pt idx="8">
                  <c:v>4496.2857142857147</c:v>
                </c:pt>
                <c:pt idx="9">
                  <c:v>4487.4285714285716</c:v>
                </c:pt>
                <c:pt idx="10">
                  <c:v>4614.8571428571431</c:v>
                </c:pt>
                <c:pt idx="11">
                  <c:v>4677.5714285714284</c:v>
                </c:pt>
                <c:pt idx="12">
                  <c:v>4551.2857142857147</c:v>
                </c:pt>
              </c:numCache>
            </c:numRef>
          </c:val>
          <c:smooth val="0"/>
        </c:ser>
        <c:dLbls>
          <c:showLegendKey val="0"/>
          <c:showVal val="0"/>
          <c:showCatName val="0"/>
          <c:showSerName val="0"/>
          <c:showPercent val="0"/>
          <c:showBubbleSize val="0"/>
        </c:dLbls>
        <c:marker val="1"/>
        <c:smooth val="0"/>
        <c:axId val="562857088"/>
        <c:axId val="562859392"/>
      </c:lineChart>
      <c:catAx>
        <c:axId val="562857088"/>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562859392"/>
        <c:crosses val="autoZero"/>
        <c:auto val="1"/>
        <c:lblAlgn val="ctr"/>
        <c:lblOffset val="100"/>
        <c:noMultiLvlLbl val="0"/>
      </c:catAx>
      <c:valAx>
        <c:axId val="562859392"/>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62857088"/>
        <c:crosses val="autoZero"/>
        <c:crossBetween val="between"/>
      </c:valAx>
    </c:plotArea>
    <c:legend>
      <c:legendPos val="r"/>
      <c:layout>
        <c:manualLayout>
          <c:xMode val="edge"/>
          <c:yMode val="edge"/>
          <c:x val="0.44529945951877964"/>
          <c:y val="4.5690021231422811E-3"/>
          <c:w val="0.55470054048122031"/>
          <c:h val="7.3817223387660696E-2"/>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Summary!$C$52</c:f>
              <c:strCache>
                <c:ptCount val="1"/>
                <c:pt idx="0">
                  <c:v>19/20</c:v>
                </c:pt>
              </c:strCache>
            </c:strRef>
          </c:tx>
          <c:spPr>
            <a:solidFill>
              <a:srgbClr val="29398F"/>
            </a:solidFill>
          </c:spPr>
          <c:invertIfNegative val="0"/>
          <c:val>
            <c:numRef>
              <c:f>Summary!$D$52:$P$52</c:f>
              <c:numCache>
                <c:formatCode>#,##0</c:formatCode>
                <c:ptCount val="13"/>
                <c:pt idx="0">
                  <c:v>96675</c:v>
                </c:pt>
                <c:pt idx="1">
                  <c:v>97067.71428571429</c:v>
                </c:pt>
                <c:pt idx="2">
                  <c:v>97017.857142857145</c:v>
                </c:pt>
                <c:pt idx="3">
                  <c:v>95816.71428571429</c:v>
                </c:pt>
                <c:pt idx="4">
                  <c:v>97143.142857142855</c:v>
                </c:pt>
                <c:pt idx="5">
                  <c:v>98417.571428571435</c:v>
                </c:pt>
                <c:pt idx="6">
                  <c:v>98204</c:v>
                </c:pt>
                <c:pt idx="7">
                  <c:v>97990</c:v>
                </c:pt>
                <c:pt idx="8">
                  <c:v>98031.142857142855</c:v>
                </c:pt>
                <c:pt idx="9">
                  <c:v>97854.71428571429</c:v>
                </c:pt>
                <c:pt idx="10">
                  <c:v>97860.142857142855</c:v>
                </c:pt>
                <c:pt idx="11">
                  <c:v>97790.28571428571</c:v>
                </c:pt>
                <c:pt idx="12">
                  <c:v>97553.857142857145</c:v>
                </c:pt>
              </c:numCache>
            </c:numRef>
          </c:val>
        </c:ser>
        <c:dLbls>
          <c:showLegendKey val="0"/>
          <c:showVal val="0"/>
          <c:showCatName val="0"/>
          <c:showSerName val="0"/>
          <c:showPercent val="0"/>
          <c:showBubbleSize val="0"/>
        </c:dLbls>
        <c:gapWidth val="50"/>
        <c:axId val="563149440"/>
        <c:axId val="563173632"/>
      </c:barChart>
      <c:lineChart>
        <c:grouping val="standard"/>
        <c:varyColors val="0"/>
        <c:ser>
          <c:idx val="0"/>
          <c:order val="0"/>
          <c:tx>
            <c:strRef>
              <c:f>Summary!$C$50</c:f>
              <c:strCache>
                <c:ptCount val="1"/>
                <c:pt idx="0">
                  <c:v>18/19</c:v>
                </c:pt>
              </c:strCache>
            </c:strRef>
          </c:tx>
          <c:spPr>
            <a:ln w="25400">
              <a:solidFill>
                <a:srgbClr val="C00848"/>
              </a:solidFill>
              <a:prstDash val="dash"/>
            </a:ln>
          </c:spPr>
          <c:marker>
            <c:symbol val="none"/>
          </c:marker>
          <c:val>
            <c:numRef>
              <c:f>Summary!$D$50:$P$50</c:f>
              <c:numCache>
                <c:formatCode>#,##0</c:formatCode>
                <c:ptCount val="13"/>
                <c:pt idx="0">
                  <c:v>96049.428571428565</c:v>
                </c:pt>
                <c:pt idx="1">
                  <c:v>95721.28571428571</c:v>
                </c:pt>
                <c:pt idx="2">
                  <c:v>95395.28571428571</c:v>
                </c:pt>
                <c:pt idx="3">
                  <c:v>94648.428571428565</c:v>
                </c:pt>
                <c:pt idx="4">
                  <c:v>96218.28571428571</c:v>
                </c:pt>
                <c:pt idx="5">
                  <c:v>97248</c:v>
                </c:pt>
                <c:pt idx="6">
                  <c:v>97580</c:v>
                </c:pt>
                <c:pt idx="7">
                  <c:v>97549.28571428571</c:v>
                </c:pt>
                <c:pt idx="8">
                  <c:v>98129.28571428571</c:v>
                </c:pt>
                <c:pt idx="9">
                  <c:v>98029.857142857145</c:v>
                </c:pt>
                <c:pt idx="10">
                  <c:v>98184.571428571435</c:v>
                </c:pt>
                <c:pt idx="11">
                  <c:v>97819.142857142855</c:v>
                </c:pt>
                <c:pt idx="12">
                  <c:v>97627.857142857145</c:v>
                </c:pt>
              </c:numCache>
            </c:numRef>
          </c:val>
          <c:smooth val="0"/>
        </c:ser>
        <c:ser>
          <c:idx val="2"/>
          <c:order val="2"/>
          <c:tx>
            <c:v>17/18</c:v>
          </c:tx>
          <c:spPr>
            <a:ln w="25400">
              <a:solidFill>
                <a:srgbClr val="00A89C"/>
              </a:solidFill>
              <a:prstDash val="sysDot"/>
            </a:ln>
          </c:spPr>
          <c:marker>
            <c:symbol val="none"/>
          </c:marker>
          <c:val>
            <c:numRef>
              <c:f>Summary!$D$49:$P$49</c:f>
              <c:numCache>
                <c:formatCode>General</c:formatCode>
                <c:ptCount val="13"/>
                <c:pt idx="0">
                  <c:v>96210.71428571429</c:v>
                </c:pt>
                <c:pt idx="1">
                  <c:v>96084.28571428571</c:v>
                </c:pt>
                <c:pt idx="2">
                  <c:v>94919</c:v>
                </c:pt>
                <c:pt idx="3">
                  <c:v>96129.571428571435</c:v>
                </c:pt>
                <c:pt idx="4">
                  <c:v>98579.28571428571</c:v>
                </c:pt>
                <c:pt idx="5">
                  <c:v>98611.142857142855</c:v>
                </c:pt>
                <c:pt idx="6">
                  <c:v>98222.71428571429</c:v>
                </c:pt>
                <c:pt idx="7">
                  <c:v>98310.857142857145</c:v>
                </c:pt>
                <c:pt idx="8">
                  <c:v>98509.571428571435</c:v>
                </c:pt>
                <c:pt idx="9">
                  <c:v>98109.28571428571</c:v>
                </c:pt>
                <c:pt idx="10">
                  <c:v>98498.28571428571</c:v>
                </c:pt>
                <c:pt idx="11">
                  <c:v>98668.142857142855</c:v>
                </c:pt>
                <c:pt idx="12">
                  <c:v>98087.571428571435</c:v>
                </c:pt>
              </c:numCache>
            </c:numRef>
          </c:val>
          <c:smooth val="0"/>
        </c:ser>
        <c:dLbls>
          <c:showLegendKey val="0"/>
          <c:showVal val="0"/>
          <c:showCatName val="0"/>
          <c:showSerName val="0"/>
          <c:showPercent val="0"/>
          <c:showBubbleSize val="0"/>
        </c:dLbls>
        <c:marker val="1"/>
        <c:smooth val="0"/>
        <c:axId val="563149440"/>
        <c:axId val="563173632"/>
      </c:lineChart>
      <c:catAx>
        <c:axId val="563149440"/>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563173632"/>
        <c:crosses val="autoZero"/>
        <c:auto val="1"/>
        <c:lblAlgn val="ctr"/>
        <c:lblOffset val="100"/>
        <c:noMultiLvlLbl val="0"/>
      </c:catAx>
      <c:valAx>
        <c:axId val="563173632"/>
        <c:scaling>
          <c:orientation val="minMax"/>
          <c:min val="9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63149440"/>
        <c:crosses val="autoZero"/>
        <c:crossBetween val="between"/>
      </c:valAx>
    </c:plotArea>
    <c:legend>
      <c:legendPos val="r"/>
      <c:layout>
        <c:manualLayout>
          <c:xMode val="edge"/>
          <c:yMode val="edge"/>
          <c:x val="0.34300941722396611"/>
          <c:y val="3.0690781210751194E-3"/>
          <c:w val="0.65247905008871299"/>
          <c:h val="9.9303394476069992E-2"/>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Summary!$C$95</c:f>
              <c:strCache>
                <c:ptCount val="1"/>
                <c:pt idx="0">
                  <c:v>19/20</c:v>
                </c:pt>
              </c:strCache>
            </c:strRef>
          </c:tx>
          <c:spPr>
            <a:solidFill>
              <a:srgbClr val="29398F"/>
            </a:solidFill>
            <a:ln w="19050"/>
          </c:spPr>
          <c:invertIfNegative val="0"/>
          <c:cat>
            <c:numRef>
              <c:f>Summary!$D$5:$P$5</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Summary!$D$95:$P$95</c:f>
              <c:numCache>
                <c:formatCode>#,##0</c:formatCode>
                <c:ptCount val="13"/>
                <c:pt idx="0">
                  <c:v>24440.428571428572</c:v>
                </c:pt>
                <c:pt idx="1">
                  <c:v>24255</c:v>
                </c:pt>
                <c:pt idx="2">
                  <c:v>23700.571428571428</c:v>
                </c:pt>
                <c:pt idx="3">
                  <c:v>23240.142857142859</c:v>
                </c:pt>
                <c:pt idx="4">
                  <c:v>26075.857142857141</c:v>
                </c:pt>
                <c:pt idx="5">
                  <c:v>26588.571428571428</c:v>
                </c:pt>
                <c:pt idx="6">
                  <c:v>25931.428571428572</c:v>
                </c:pt>
                <c:pt idx="7">
                  <c:v>26034.571428571428</c:v>
                </c:pt>
                <c:pt idx="8">
                  <c:v>25894.285714285714</c:v>
                </c:pt>
                <c:pt idx="9">
                  <c:v>25497</c:v>
                </c:pt>
                <c:pt idx="10">
                  <c:v>25639.714285714286</c:v>
                </c:pt>
                <c:pt idx="11">
                  <c:v>25406.142857142859</c:v>
                </c:pt>
                <c:pt idx="12">
                  <c:v>25337.428571428572</c:v>
                </c:pt>
              </c:numCache>
            </c:numRef>
          </c:val>
        </c:ser>
        <c:dLbls>
          <c:showLegendKey val="0"/>
          <c:showVal val="0"/>
          <c:showCatName val="0"/>
          <c:showSerName val="0"/>
          <c:showPercent val="0"/>
          <c:showBubbleSize val="0"/>
        </c:dLbls>
        <c:gapWidth val="50"/>
        <c:axId val="564020736"/>
        <c:axId val="564022656"/>
      </c:barChart>
      <c:lineChart>
        <c:grouping val="standard"/>
        <c:varyColors val="0"/>
        <c:ser>
          <c:idx val="0"/>
          <c:order val="1"/>
          <c:tx>
            <c:v>18/19</c:v>
          </c:tx>
          <c:spPr>
            <a:ln w="25400">
              <a:solidFill>
                <a:srgbClr val="C00848"/>
              </a:solidFill>
              <a:prstDash val="dash"/>
            </a:ln>
          </c:spPr>
          <c:marker>
            <c:symbol val="none"/>
          </c:marker>
          <c:val>
            <c:numRef>
              <c:f>Summary!$D$93:$P$93</c:f>
              <c:numCache>
                <c:formatCode>#,##0</c:formatCode>
                <c:ptCount val="13"/>
                <c:pt idx="0">
                  <c:v>23080.857142857141</c:v>
                </c:pt>
                <c:pt idx="1">
                  <c:v>22984.142857142859</c:v>
                </c:pt>
                <c:pt idx="2">
                  <c:v>21743.714285714286</c:v>
                </c:pt>
                <c:pt idx="3">
                  <c:v>21803.714285714286</c:v>
                </c:pt>
                <c:pt idx="4">
                  <c:v>24544.714285714286</c:v>
                </c:pt>
                <c:pt idx="5">
                  <c:v>24498.142857142859</c:v>
                </c:pt>
                <c:pt idx="6">
                  <c:v>24169.428571428572</c:v>
                </c:pt>
                <c:pt idx="7">
                  <c:v>24466</c:v>
                </c:pt>
                <c:pt idx="8">
                  <c:v>24489.428571428572</c:v>
                </c:pt>
                <c:pt idx="9">
                  <c:v>24371.571428571428</c:v>
                </c:pt>
                <c:pt idx="10">
                  <c:v>24538.857142857141</c:v>
                </c:pt>
                <c:pt idx="11">
                  <c:v>24669.142857142859</c:v>
                </c:pt>
                <c:pt idx="12">
                  <c:v>24758.285714285714</c:v>
                </c:pt>
              </c:numCache>
            </c:numRef>
          </c:val>
          <c:smooth val="0"/>
        </c:ser>
        <c:dLbls>
          <c:showLegendKey val="0"/>
          <c:showVal val="0"/>
          <c:showCatName val="0"/>
          <c:showSerName val="0"/>
          <c:showPercent val="0"/>
          <c:showBubbleSize val="0"/>
        </c:dLbls>
        <c:marker val="1"/>
        <c:smooth val="0"/>
        <c:axId val="564020736"/>
        <c:axId val="564022656"/>
      </c:lineChart>
      <c:catAx>
        <c:axId val="564020736"/>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64022656"/>
        <c:crosses val="autoZero"/>
        <c:auto val="1"/>
        <c:lblAlgn val="ctr"/>
        <c:lblOffset val="100"/>
        <c:noMultiLvlLbl val="0"/>
      </c:catAx>
      <c:valAx>
        <c:axId val="564022656"/>
        <c:scaling>
          <c:orientation val="minMax"/>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564020736"/>
        <c:crosses val="autoZero"/>
        <c:crossBetween val="between"/>
      </c:valAx>
    </c:plotArea>
    <c:legend>
      <c:legendPos val="r"/>
      <c:layout>
        <c:manualLayout>
          <c:xMode val="edge"/>
          <c:yMode val="edge"/>
          <c:x val="0.62858048992054671"/>
          <c:y val="8.2540363968860997E-3"/>
          <c:w val="0.36811784857620578"/>
          <c:h val="0.11139082275733954"/>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Summary!$C$246</c:f>
              <c:strCache>
                <c:ptCount val="1"/>
                <c:pt idx="0">
                  <c:v>19/20</c:v>
                </c:pt>
              </c:strCache>
            </c:strRef>
          </c:tx>
          <c:spPr>
            <a:solidFill>
              <a:srgbClr val="29398F"/>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Summary!$D$234:$P$234</c:f>
              <c:numCache>
                <c:formatCode>0.0%</c:formatCode>
                <c:ptCount val="13"/>
                <c:pt idx="0">
                  <c:v>0.14580191552896762</c:v>
                </c:pt>
                <c:pt idx="1">
                  <c:v>0.16260829548410333</c:v>
                </c:pt>
                <c:pt idx="2">
                  <c:v>0.17464612822647793</c:v>
                </c:pt>
                <c:pt idx="3">
                  <c:v>0.14498062054830657</c:v>
                </c:pt>
                <c:pt idx="4">
                  <c:v>0.1814773936302439</c:v>
                </c:pt>
                <c:pt idx="5">
                  <c:v>0.16348785226346904</c:v>
                </c:pt>
                <c:pt idx="6">
                  <c:v>0.13131665820213306</c:v>
                </c:pt>
                <c:pt idx="7">
                  <c:v>0.11060714400059765</c:v>
                </c:pt>
                <c:pt idx="8">
                  <c:v>0.14339145660439914</c:v>
                </c:pt>
                <c:pt idx="9">
                  <c:v>0.12353892993250867</c:v>
                </c:pt>
                <c:pt idx="10">
                  <c:v>0.1246746376044863</c:v>
                </c:pt>
                <c:pt idx="11">
                  <c:v>0.12125818028287946</c:v>
                </c:pt>
                <c:pt idx="12">
                  <c:v>0.12861921298762172</c:v>
                </c:pt>
              </c:numCache>
            </c:numRef>
          </c:val>
        </c:ser>
        <c:dLbls>
          <c:showLegendKey val="0"/>
          <c:showVal val="0"/>
          <c:showCatName val="0"/>
          <c:showSerName val="0"/>
          <c:showPercent val="0"/>
          <c:showBubbleSize val="0"/>
        </c:dLbls>
        <c:gapWidth val="50"/>
        <c:axId val="565834112"/>
        <c:axId val="565836800"/>
      </c:barChart>
      <c:lineChart>
        <c:grouping val="standard"/>
        <c:varyColors val="0"/>
        <c:ser>
          <c:idx val="0"/>
          <c:order val="1"/>
          <c:tx>
            <c:strRef>
              <c:f>Summary!$C$244</c:f>
              <c:strCache>
                <c:ptCount val="1"/>
                <c:pt idx="0">
                  <c:v>18/19</c:v>
                </c:pt>
              </c:strCache>
            </c:strRef>
          </c:tx>
          <c:spPr>
            <a:ln w="25400">
              <a:solidFill>
                <a:srgbClr val="C00848"/>
              </a:solidFill>
              <a:prstDash val="sysDash"/>
            </a:ln>
          </c:spPr>
          <c:marker>
            <c:symbol val="none"/>
          </c:marker>
          <c:val>
            <c:numRef>
              <c:f>Summary!$D$232:$P$232</c:f>
              <c:numCache>
                <c:formatCode>0.0%</c:formatCode>
                <c:ptCount val="13"/>
                <c:pt idx="0">
                  <c:v>0.10951863099146422</c:v>
                </c:pt>
                <c:pt idx="1">
                  <c:v>9.7181255452619339E-2</c:v>
                </c:pt>
                <c:pt idx="2">
                  <c:v>9.7657708570909565E-2</c:v>
                </c:pt>
                <c:pt idx="3">
                  <c:v>9.7997095485901006E-2</c:v>
                </c:pt>
                <c:pt idx="4">
                  <c:v>0.12050142718418033</c:v>
                </c:pt>
                <c:pt idx="5">
                  <c:v>0.12481898917479317</c:v>
                </c:pt>
                <c:pt idx="6">
                  <c:v>0.11664634083851727</c:v>
                </c:pt>
                <c:pt idx="7">
                  <c:v>0.12176768088751122</c:v>
                </c:pt>
                <c:pt idx="8">
                  <c:v>0.12160417947141978</c:v>
                </c:pt>
                <c:pt idx="9">
                  <c:v>0.13510918166268218</c:v>
                </c:pt>
                <c:pt idx="10">
                  <c:v>0.1241996396469762</c:v>
                </c:pt>
                <c:pt idx="11">
                  <c:v>0.11279371176106372</c:v>
                </c:pt>
                <c:pt idx="12">
                  <c:v>0.10601850373162136</c:v>
                </c:pt>
              </c:numCache>
            </c:numRef>
          </c:val>
          <c:smooth val="0"/>
        </c:ser>
        <c:ser>
          <c:idx val="2"/>
          <c:order val="2"/>
          <c:tx>
            <c:v>17/18</c:v>
          </c:tx>
          <c:spPr>
            <a:ln w="25400">
              <a:solidFill>
                <a:srgbClr val="00A89C"/>
              </a:solidFill>
              <a:prstDash val="sysDot"/>
            </a:ln>
          </c:spPr>
          <c:marker>
            <c:symbol val="none"/>
          </c:marker>
          <c:val>
            <c:numRef>
              <c:f>Summary!$D$231:$P$231</c:f>
              <c:numCache>
                <c:formatCode>0.0%</c:formatCode>
                <c:ptCount val="13"/>
                <c:pt idx="0">
                  <c:v>0.12530660576841748</c:v>
                </c:pt>
                <c:pt idx="1">
                  <c:v>0.15014885944313988</c:v>
                </c:pt>
                <c:pt idx="2">
                  <c:v>0.12404496263579846</c:v>
                </c:pt>
                <c:pt idx="3">
                  <c:v>0.17289623973962703</c:v>
                </c:pt>
                <c:pt idx="4">
                  <c:v>0.17193423438272623</c:v>
                </c:pt>
                <c:pt idx="5">
                  <c:v>0.13453524868507033</c:v>
                </c:pt>
                <c:pt idx="6">
                  <c:v>0.1198134133611691</c:v>
                </c:pt>
                <c:pt idx="7">
                  <c:v>0.11855178401088949</c:v>
                </c:pt>
                <c:pt idx="8">
                  <c:v>0.1219345174406163</c:v>
                </c:pt>
                <c:pt idx="9">
                  <c:v>0.11570790507453048</c:v>
                </c:pt>
                <c:pt idx="10">
                  <c:v>0.14272379051726913</c:v>
                </c:pt>
                <c:pt idx="11">
                  <c:v>0.13200000000000001</c:v>
                </c:pt>
                <c:pt idx="12">
                  <c:v>0.12664236390268616</c:v>
                </c:pt>
              </c:numCache>
            </c:numRef>
          </c:val>
          <c:smooth val="0"/>
        </c:ser>
        <c:dLbls>
          <c:showLegendKey val="0"/>
          <c:showVal val="0"/>
          <c:showCatName val="0"/>
          <c:showSerName val="0"/>
          <c:showPercent val="0"/>
          <c:showBubbleSize val="0"/>
        </c:dLbls>
        <c:marker val="1"/>
        <c:smooth val="0"/>
        <c:axId val="565834112"/>
        <c:axId val="565836800"/>
      </c:lineChart>
      <c:catAx>
        <c:axId val="565834112"/>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65836800"/>
        <c:crosses val="autoZero"/>
        <c:auto val="1"/>
        <c:lblAlgn val="ctr"/>
        <c:lblOffset val="100"/>
        <c:noMultiLvlLbl val="0"/>
      </c:catAx>
      <c:valAx>
        <c:axId val="565836800"/>
        <c:scaling>
          <c:orientation val="minMax"/>
        </c:scaling>
        <c:delete val="0"/>
        <c:axPos val="l"/>
        <c:numFmt formatCode="0.0%" sourceLinked="0"/>
        <c:majorTickMark val="none"/>
        <c:minorTickMark val="none"/>
        <c:tickLblPos val="nextTo"/>
        <c:spPr>
          <a:ln w="50800">
            <a:solidFill>
              <a:srgbClr val="CED8DD"/>
            </a:solidFill>
          </a:ln>
        </c:spPr>
        <c:txPr>
          <a:bodyPr/>
          <a:lstStyle/>
          <a:p>
            <a:pPr>
              <a:defRPr sz="800" b="1"/>
            </a:pPr>
            <a:endParaRPr lang="en-US"/>
          </a:p>
        </c:txPr>
        <c:crossAx val="565834112"/>
        <c:crosses val="autoZero"/>
        <c:crossBetween val="between"/>
      </c:valAx>
    </c:plotArea>
    <c:legend>
      <c:legendPos val="r"/>
      <c:layout>
        <c:manualLayout>
          <c:xMode val="edge"/>
          <c:yMode val="edge"/>
          <c:x val="0.55005014468760471"/>
          <c:y val="9.553811081287656E-3"/>
          <c:w val="0.44225890529973938"/>
          <c:h val="0.12522418605333518"/>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19/20</c:v>
                </c:pt>
              </c:strCache>
            </c:strRef>
          </c:tx>
          <c:spPr>
            <a:ln w="19050"/>
          </c:spPr>
          <c:invertIfNegative val="0"/>
          <c:val>
            <c:numRef>
              <c:f>Summary!$D$8:$Q$8</c:f>
              <c:numCache>
                <c:formatCode>General</c:formatCode>
                <c:ptCount val="14"/>
                <c:pt idx="0">
                  <c:v>28</c:v>
                </c:pt>
                <c:pt idx="1">
                  <c:v>24</c:v>
                </c:pt>
                <c:pt idx="2">
                  <c:v>23</c:v>
                </c:pt>
                <c:pt idx="3">
                  <c:v>20</c:v>
                </c:pt>
                <c:pt idx="4">
                  <c:v>28</c:v>
                </c:pt>
                <c:pt idx="5">
                  <c:v>27</c:v>
                </c:pt>
                <c:pt idx="6">
                  <c:v>20</c:v>
                </c:pt>
                <c:pt idx="7">
                  <c:v>25</c:v>
                </c:pt>
                <c:pt idx="8">
                  <c:v>14</c:v>
                </c:pt>
                <c:pt idx="9">
                  <c:v>26</c:v>
                </c:pt>
                <c:pt idx="10">
                  <c:v>32</c:v>
                </c:pt>
                <c:pt idx="11">
                  <c:v>22</c:v>
                </c:pt>
                <c:pt idx="12">
                  <c:v>24</c:v>
                </c:pt>
              </c:numCache>
            </c:numRef>
          </c:val>
        </c:ser>
        <c:dLbls>
          <c:showLegendKey val="0"/>
          <c:showVal val="0"/>
          <c:showCatName val="0"/>
          <c:showSerName val="0"/>
          <c:showPercent val="0"/>
          <c:showBubbleSize val="0"/>
        </c:dLbls>
        <c:gapWidth val="50"/>
        <c:axId val="566597120"/>
        <c:axId val="566603136"/>
      </c:barChart>
      <c:lineChart>
        <c:grouping val="standard"/>
        <c:varyColors val="0"/>
        <c:ser>
          <c:idx val="0"/>
          <c:order val="0"/>
          <c:tx>
            <c:strRef>
              <c:f>Summary!$C$6</c:f>
              <c:strCache>
                <c:ptCount val="1"/>
                <c:pt idx="0">
                  <c:v>18/19</c:v>
                </c:pt>
              </c:strCache>
            </c:strRef>
          </c:tx>
          <c:spPr>
            <a:ln w="28575">
              <a:solidFill>
                <a:srgbClr val="F0532D"/>
              </a:solidFill>
              <a:prstDash val="sysDot"/>
            </a:ln>
          </c:spPr>
          <c:marker>
            <c:symbol val="none"/>
          </c:marker>
          <c:val>
            <c:numRef>
              <c:f>Summary!$D$6:$P$6</c:f>
              <c:numCache>
                <c:formatCode>General</c:formatCode>
                <c:ptCount val="13"/>
                <c:pt idx="0">
                  <c:v>25</c:v>
                </c:pt>
                <c:pt idx="1">
                  <c:v>30</c:v>
                </c:pt>
                <c:pt idx="2">
                  <c:v>15</c:v>
                </c:pt>
                <c:pt idx="3">
                  <c:v>17</c:v>
                </c:pt>
                <c:pt idx="4">
                  <c:v>17</c:v>
                </c:pt>
                <c:pt idx="5">
                  <c:v>38</c:v>
                </c:pt>
                <c:pt idx="6">
                  <c:v>35</c:v>
                </c:pt>
                <c:pt idx="7">
                  <c:v>25</c:v>
                </c:pt>
                <c:pt idx="8">
                  <c:v>13</c:v>
                </c:pt>
                <c:pt idx="9">
                  <c:v>25</c:v>
                </c:pt>
                <c:pt idx="10">
                  <c:v>17</c:v>
                </c:pt>
                <c:pt idx="11">
                  <c:v>17</c:v>
                </c:pt>
                <c:pt idx="12">
                  <c:v>18</c:v>
                </c:pt>
              </c:numCache>
            </c:numRef>
          </c:val>
          <c:smooth val="0"/>
        </c:ser>
        <c:dLbls>
          <c:showLegendKey val="0"/>
          <c:showVal val="0"/>
          <c:showCatName val="0"/>
          <c:showSerName val="0"/>
          <c:showPercent val="0"/>
          <c:showBubbleSize val="0"/>
        </c:dLbls>
        <c:marker val="1"/>
        <c:smooth val="0"/>
        <c:axId val="566597120"/>
        <c:axId val="566603136"/>
      </c:lineChart>
      <c:catAx>
        <c:axId val="566597120"/>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566603136"/>
        <c:crosses val="autoZero"/>
        <c:auto val="1"/>
        <c:lblAlgn val="ctr"/>
        <c:lblOffset val="100"/>
        <c:noMultiLvlLbl val="0"/>
      </c:catAx>
      <c:valAx>
        <c:axId val="566603136"/>
        <c:scaling>
          <c:orientation val="minMax"/>
        </c:scaling>
        <c:delete val="0"/>
        <c:axPos val="l"/>
        <c:numFmt formatCode="General" sourceLinked="1"/>
        <c:majorTickMark val="out"/>
        <c:minorTickMark val="none"/>
        <c:tickLblPos val="nextTo"/>
        <c:spPr>
          <a:ln w="25400"/>
        </c:spPr>
        <c:txPr>
          <a:bodyPr/>
          <a:lstStyle/>
          <a:p>
            <a:pPr>
              <a:defRPr sz="800" b="1"/>
            </a:pPr>
            <a:endParaRPr lang="en-US"/>
          </a:p>
        </c:txPr>
        <c:crossAx val="566597120"/>
        <c:crosses val="autoZero"/>
        <c:crossBetween val="between"/>
      </c:valAx>
    </c:plotArea>
    <c:legend>
      <c:legendPos val="r"/>
      <c:layout>
        <c:manualLayout>
          <c:xMode val="edge"/>
          <c:yMode val="edge"/>
          <c:x val="0.79763861548556436"/>
          <c:y val="2.9495027910243613E-2"/>
          <c:w val="0.18853202919947507"/>
          <c:h val="0.2152563676019370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GB" sz="800">
                <a:latin typeface="+mn-lt"/>
              </a:rPr>
              <a:t>G&amp;A</a:t>
            </a:r>
            <a:r>
              <a:rPr lang="en-GB" sz="800" baseline="0">
                <a:latin typeface="+mn-lt"/>
              </a:rPr>
              <a:t> bed occupancy </a:t>
            </a:r>
            <a:endParaRPr lang="en-GB" sz="800">
              <a:latin typeface="+mn-lt"/>
            </a:endParaRPr>
          </a:p>
        </c:rich>
      </c:tx>
      <c:layout>
        <c:manualLayout>
          <c:xMode val="edge"/>
          <c:yMode val="edge"/>
          <c:x val="0.13809253446158049"/>
          <c:y val="2.1421041534893527E-2"/>
        </c:manualLayout>
      </c:layout>
      <c:overlay val="1"/>
    </c:title>
    <c:autoTitleDeleted val="0"/>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Summary!$C$65</c:f>
              <c:strCache>
                <c:ptCount val="1"/>
                <c:pt idx="0">
                  <c:v>19/20</c:v>
                </c:pt>
              </c:strCache>
            </c:strRef>
          </c:tx>
          <c:spPr>
            <a:solidFill>
              <a:srgbClr val="29398F"/>
            </a:solidFill>
            <a:ln w="19050"/>
          </c:spPr>
          <c:invertIfNegative val="0"/>
          <c:cat>
            <c:strRef>
              <c:f>Summary!$D$4:$P$4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Summary!$D$65:$P$65</c:f>
              <c:numCache>
                <c:formatCode>0.0%</c:formatCode>
                <c:ptCount val="13"/>
                <c:pt idx="0">
                  <c:v>0.94888026894233257</c:v>
                </c:pt>
                <c:pt idx="1">
                  <c:v>0.94930784695220127</c:v>
                </c:pt>
                <c:pt idx="2">
                  <c:v>0.94160427020062576</c:v>
                </c:pt>
                <c:pt idx="3">
                  <c:v>0.89356762986475669</c:v>
                </c:pt>
                <c:pt idx="4">
                  <c:v>0.94167223037579306</c:v>
                </c:pt>
                <c:pt idx="5">
                  <c:v>0.95106855192815454</c:v>
                </c:pt>
                <c:pt idx="6">
                  <c:v>0.94967036547827555</c:v>
                </c:pt>
                <c:pt idx="7">
                  <c:v>0.94301021970171883</c:v>
                </c:pt>
                <c:pt idx="8">
                  <c:v>0.94817681844545032</c:v>
                </c:pt>
                <c:pt idx="9">
                  <c:v>0.94163650776734609</c:v>
                </c:pt>
                <c:pt idx="10">
                  <c:v>0.94020475284699301</c:v>
                </c:pt>
                <c:pt idx="11">
                  <c:v>0.93727685484389334</c:v>
                </c:pt>
                <c:pt idx="12">
                  <c:v>0.9394634758528988</c:v>
                </c:pt>
              </c:numCache>
            </c:numRef>
          </c:val>
        </c:ser>
        <c:dLbls>
          <c:showLegendKey val="0"/>
          <c:showVal val="0"/>
          <c:showCatName val="0"/>
          <c:showSerName val="0"/>
          <c:showPercent val="0"/>
          <c:showBubbleSize val="0"/>
        </c:dLbls>
        <c:gapWidth val="50"/>
        <c:axId val="219400832"/>
        <c:axId val="219951872"/>
      </c:barChart>
      <c:lineChart>
        <c:grouping val="standard"/>
        <c:varyColors val="0"/>
        <c:ser>
          <c:idx val="0"/>
          <c:order val="0"/>
          <c:tx>
            <c:strRef>
              <c:f>Summary!$C$63</c:f>
              <c:strCache>
                <c:ptCount val="1"/>
                <c:pt idx="0">
                  <c:v>18/19</c:v>
                </c:pt>
              </c:strCache>
            </c:strRef>
          </c:tx>
          <c:spPr>
            <a:ln w="25400">
              <a:solidFill>
                <a:srgbClr val="C00848"/>
              </a:solidFill>
              <a:prstDash val="dash"/>
            </a:ln>
          </c:spPr>
          <c:marker>
            <c:symbol val="none"/>
          </c:marker>
          <c:cat>
            <c:numRef>
              <c:f>Summary!$D$5:$P$5</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Summary!$D$63:$P$63</c:f>
              <c:numCache>
                <c:formatCode>0.0%</c:formatCode>
                <c:ptCount val="13"/>
                <c:pt idx="0">
                  <c:v>0.94153307969408606</c:v>
                </c:pt>
                <c:pt idx="1">
                  <c:v>0.93393915967339702</c:v>
                </c:pt>
                <c:pt idx="2">
                  <c:v>0.91231222866658579</c:v>
                </c:pt>
                <c:pt idx="3">
                  <c:v>0.87478774834387107</c:v>
                </c:pt>
                <c:pt idx="4">
                  <c:v>0.93198946443206521</c:v>
                </c:pt>
                <c:pt idx="5">
                  <c:v>0.94664745216941659</c:v>
                </c:pt>
                <c:pt idx="6">
                  <c:v>0.94580710332913653</c:v>
                </c:pt>
                <c:pt idx="7">
                  <c:v>0.9462879570034195</c:v>
                </c:pt>
                <c:pt idx="8">
                  <c:v>0.94853000050953185</c:v>
                </c:pt>
                <c:pt idx="9">
                  <c:v>0.952190950570453</c:v>
                </c:pt>
                <c:pt idx="10">
                  <c:v>0.94488805340379345</c:v>
                </c:pt>
                <c:pt idx="11">
                  <c:v>0.93928299164347029</c:v>
                </c:pt>
                <c:pt idx="12">
                  <c:v>0.93794364898777427</c:v>
                </c:pt>
              </c:numCache>
            </c:numRef>
          </c:val>
          <c:smooth val="0"/>
        </c:ser>
        <c:ser>
          <c:idx val="3"/>
          <c:order val="2"/>
          <c:tx>
            <c:v>17/18</c:v>
          </c:tx>
          <c:spPr>
            <a:ln w="25400">
              <a:solidFill>
                <a:srgbClr val="00A89C"/>
              </a:solidFill>
              <a:prstDash val="sysDot"/>
            </a:ln>
          </c:spPr>
          <c:marker>
            <c:symbol val="none"/>
          </c:marker>
          <c:cat>
            <c:numRef>
              <c:f>Summary!$D$5:$P$5</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Summary!$D$62:$P$62</c:f>
              <c:numCache>
                <c:formatCode>0.0%</c:formatCode>
                <c:ptCount val="13"/>
                <c:pt idx="0">
                  <c:v>0.94566539218233792</c:v>
                </c:pt>
                <c:pt idx="1">
                  <c:v>0.950476516153972</c:v>
                </c:pt>
                <c:pt idx="2">
                  <c:v>0.90906682840858299</c:v>
                </c:pt>
                <c:pt idx="3">
                  <c:v>0.91743732789226451</c:v>
                </c:pt>
                <c:pt idx="4">
                  <c:v>0.9501996217692793</c:v>
                </c:pt>
                <c:pt idx="5">
                  <c:v>0.94869313522957421</c:v>
                </c:pt>
                <c:pt idx="6">
                  <c:v>0.94774848413008916</c:v>
                </c:pt>
                <c:pt idx="7">
                  <c:v>0.95097184441189464</c:v>
                </c:pt>
                <c:pt idx="8">
                  <c:v>0.95039060743916115</c:v>
                </c:pt>
                <c:pt idx="9">
                  <c:v>0.94971496800215505</c:v>
                </c:pt>
                <c:pt idx="10">
                  <c:v>0.94976272248393012</c:v>
                </c:pt>
                <c:pt idx="11">
                  <c:v>0.9524075653308276</c:v>
                </c:pt>
                <c:pt idx="12">
                  <c:v>0.95201955104258151</c:v>
                </c:pt>
              </c:numCache>
            </c:numRef>
          </c:val>
          <c:smooth val="0"/>
        </c:ser>
        <c:dLbls>
          <c:showLegendKey val="0"/>
          <c:showVal val="0"/>
          <c:showCatName val="0"/>
          <c:showSerName val="0"/>
          <c:showPercent val="0"/>
          <c:showBubbleSize val="0"/>
        </c:dLbls>
        <c:marker val="1"/>
        <c:smooth val="0"/>
        <c:axId val="219400832"/>
        <c:axId val="219951872"/>
      </c:lineChart>
      <c:catAx>
        <c:axId val="219400832"/>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19951872"/>
        <c:crosses val="autoZero"/>
        <c:auto val="1"/>
        <c:lblAlgn val="ctr"/>
        <c:lblOffset val="100"/>
        <c:noMultiLvlLbl val="0"/>
      </c:catAx>
      <c:valAx>
        <c:axId val="219951872"/>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19400832"/>
        <c:crosses val="autoZero"/>
        <c:crossBetween val="between"/>
        <c:majorUnit val="0.1"/>
      </c:valAx>
    </c:plotArea>
    <c:legend>
      <c:legendPos val="r"/>
      <c:layout>
        <c:manualLayout>
          <c:xMode val="edge"/>
          <c:yMode val="edge"/>
          <c:x val="0.51288631090487247"/>
          <c:y val="0"/>
          <c:w val="0.48622956189436334"/>
          <c:h val="8.2165717900063245E-2"/>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0.12393531453729574"/>
          <c:w val="0.87354694444444447"/>
          <c:h val="0.82740919481838959"/>
        </c:manualLayout>
      </c:layout>
      <c:barChart>
        <c:barDir val="col"/>
        <c:grouping val="clustered"/>
        <c:varyColors val="0"/>
        <c:ser>
          <c:idx val="1"/>
          <c:order val="0"/>
          <c:tx>
            <c:strRef>
              <c:f>Summary!$C$83</c:f>
              <c:strCache>
                <c:ptCount val="1"/>
                <c:pt idx="0">
                  <c:v>19/20</c:v>
                </c:pt>
              </c:strCache>
            </c:strRef>
          </c:tx>
          <c:spPr>
            <a:solidFill>
              <a:srgbClr val="29398F"/>
            </a:solidFill>
            <a:ln w="19050"/>
          </c:spPr>
          <c:invertIfNegative val="0"/>
          <c:cat>
            <c:numRef>
              <c:f>Summary!$D$5:$P$5</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Summary!$D$83:$P$83</c:f>
              <c:numCache>
                <c:formatCode>#,##0</c:formatCode>
                <c:ptCount val="13"/>
                <c:pt idx="0">
                  <c:v>42353.857142857145</c:v>
                </c:pt>
                <c:pt idx="1">
                  <c:v>42015</c:v>
                </c:pt>
                <c:pt idx="2">
                  <c:v>41386.571428571428</c:v>
                </c:pt>
                <c:pt idx="3">
                  <c:v>40775.571428571428</c:v>
                </c:pt>
                <c:pt idx="4">
                  <c:v>44293.857142857145</c:v>
                </c:pt>
                <c:pt idx="5">
                  <c:v>44755.714285714283</c:v>
                </c:pt>
                <c:pt idx="6">
                  <c:v>44463.285714285717</c:v>
                </c:pt>
                <c:pt idx="7">
                  <c:v>44319</c:v>
                </c:pt>
                <c:pt idx="8">
                  <c:v>43811.857142857145</c:v>
                </c:pt>
                <c:pt idx="9">
                  <c:v>43662.714285714283</c:v>
                </c:pt>
                <c:pt idx="10">
                  <c:v>43538</c:v>
                </c:pt>
                <c:pt idx="11">
                  <c:v>43416.714285714283</c:v>
                </c:pt>
                <c:pt idx="12">
                  <c:v>43146.571428571428</c:v>
                </c:pt>
              </c:numCache>
            </c:numRef>
          </c:val>
        </c:ser>
        <c:dLbls>
          <c:showLegendKey val="0"/>
          <c:showVal val="0"/>
          <c:showCatName val="0"/>
          <c:showSerName val="0"/>
          <c:showPercent val="0"/>
          <c:showBubbleSize val="0"/>
        </c:dLbls>
        <c:gapWidth val="50"/>
        <c:axId val="333572352"/>
        <c:axId val="333584640"/>
      </c:barChart>
      <c:lineChart>
        <c:grouping val="standard"/>
        <c:varyColors val="0"/>
        <c:ser>
          <c:idx val="0"/>
          <c:order val="1"/>
          <c:tx>
            <c:strRef>
              <c:f>Summary!$C$81</c:f>
              <c:strCache>
                <c:ptCount val="1"/>
                <c:pt idx="0">
                  <c:v>18/19</c:v>
                </c:pt>
              </c:strCache>
            </c:strRef>
          </c:tx>
          <c:spPr>
            <a:ln w="25400">
              <a:solidFill>
                <a:srgbClr val="C00848"/>
              </a:solidFill>
              <a:prstDash val="dash"/>
            </a:ln>
          </c:spPr>
          <c:marker>
            <c:symbol val="none"/>
          </c:marker>
          <c:val>
            <c:numRef>
              <c:f>Summary!$D$81:$P$81</c:f>
              <c:numCache>
                <c:formatCode>#,##0</c:formatCode>
                <c:ptCount val="13"/>
                <c:pt idx="0">
                  <c:v>40658.428571428572</c:v>
                </c:pt>
                <c:pt idx="1">
                  <c:v>40129.428571428572</c:v>
                </c:pt>
                <c:pt idx="2">
                  <c:v>37680.571428571428</c:v>
                </c:pt>
                <c:pt idx="3">
                  <c:v>38508.714285714283</c:v>
                </c:pt>
                <c:pt idx="4">
                  <c:v>41687</c:v>
                </c:pt>
                <c:pt idx="5">
                  <c:v>42190.571428571428</c:v>
                </c:pt>
                <c:pt idx="6">
                  <c:v>42338.428571428572</c:v>
                </c:pt>
                <c:pt idx="7">
                  <c:v>42406</c:v>
                </c:pt>
                <c:pt idx="8">
                  <c:v>42625.285714285717</c:v>
                </c:pt>
                <c:pt idx="9">
                  <c:v>42515.571428571428</c:v>
                </c:pt>
                <c:pt idx="10">
                  <c:v>42977.714285714283</c:v>
                </c:pt>
                <c:pt idx="11">
                  <c:v>42593</c:v>
                </c:pt>
                <c:pt idx="12">
                  <c:v>42292.857142857145</c:v>
                </c:pt>
              </c:numCache>
            </c:numRef>
          </c:val>
          <c:smooth val="0"/>
        </c:ser>
        <c:ser>
          <c:idx val="2"/>
          <c:order val="2"/>
          <c:tx>
            <c:v>17/18</c:v>
          </c:tx>
          <c:spPr>
            <a:ln w="25400">
              <a:solidFill>
                <a:srgbClr val="00A89C"/>
              </a:solidFill>
              <a:prstDash val="sysDot"/>
            </a:ln>
          </c:spPr>
          <c:marker>
            <c:symbol val="none"/>
          </c:marker>
          <c:val>
            <c:numRef>
              <c:f>Summary!$D$80:$P$80</c:f>
              <c:numCache>
                <c:formatCode>General</c:formatCode>
                <c:ptCount val="13"/>
                <c:pt idx="0">
                  <c:v>42999</c:v>
                </c:pt>
                <c:pt idx="1">
                  <c:v>43570.142857142855</c:v>
                </c:pt>
                <c:pt idx="2">
                  <c:v>40411</c:v>
                </c:pt>
                <c:pt idx="3">
                  <c:v>43553.142857142855</c:v>
                </c:pt>
                <c:pt idx="4">
                  <c:v>46221</c:v>
                </c:pt>
                <c:pt idx="5">
                  <c:v>45788</c:v>
                </c:pt>
                <c:pt idx="6">
                  <c:v>45820.142857142855</c:v>
                </c:pt>
                <c:pt idx="7">
                  <c:v>45732.142857142855</c:v>
                </c:pt>
                <c:pt idx="8">
                  <c:v>45634.428571428572</c:v>
                </c:pt>
                <c:pt idx="9">
                  <c:v>45175.142857142855</c:v>
                </c:pt>
                <c:pt idx="10">
                  <c:v>45500.714285714283</c:v>
                </c:pt>
                <c:pt idx="11">
                  <c:v>45469.285714285717</c:v>
                </c:pt>
                <c:pt idx="12">
                  <c:v>46331</c:v>
                </c:pt>
              </c:numCache>
            </c:numRef>
          </c:val>
          <c:smooth val="0"/>
        </c:ser>
        <c:dLbls>
          <c:showLegendKey val="0"/>
          <c:showVal val="0"/>
          <c:showCatName val="0"/>
          <c:showSerName val="0"/>
          <c:showPercent val="0"/>
          <c:showBubbleSize val="0"/>
        </c:dLbls>
        <c:marker val="1"/>
        <c:smooth val="0"/>
        <c:axId val="333572352"/>
        <c:axId val="333584640"/>
      </c:lineChart>
      <c:catAx>
        <c:axId val="333572352"/>
        <c:scaling>
          <c:orientation val="minMax"/>
        </c:scaling>
        <c:delete val="0"/>
        <c:axPos val="b"/>
        <c:numFmt formatCode="General" sourceLinked="1"/>
        <c:majorTickMark val="out"/>
        <c:minorTickMark val="none"/>
        <c:tickLblPos val="nextTo"/>
        <c:spPr>
          <a:ln w="15875">
            <a:solidFill>
              <a:schemeClr val="bg2"/>
            </a:solidFill>
          </a:ln>
        </c:spPr>
        <c:txPr>
          <a:bodyPr/>
          <a:lstStyle/>
          <a:p>
            <a:pPr>
              <a:defRPr sz="800" b="1"/>
            </a:pPr>
            <a:endParaRPr lang="en-US"/>
          </a:p>
        </c:txPr>
        <c:crossAx val="333584640"/>
        <c:crosses val="autoZero"/>
        <c:auto val="1"/>
        <c:lblAlgn val="ctr"/>
        <c:lblOffset val="100"/>
        <c:noMultiLvlLbl val="0"/>
      </c:catAx>
      <c:valAx>
        <c:axId val="333584640"/>
        <c:scaling>
          <c:orientation val="minMax"/>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333572352"/>
        <c:crosses val="autoZero"/>
        <c:crossBetween val="between"/>
      </c:valAx>
    </c:plotArea>
    <c:legend>
      <c:legendPos val="r"/>
      <c:legendEntry>
        <c:idx val="0"/>
        <c:txPr>
          <a:bodyPr/>
          <a:lstStyle/>
          <a:p>
            <a:pPr>
              <a:defRPr sz="700"/>
            </a:pPr>
            <a:endParaRPr lang="en-US"/>
          </a:p>
        </c:txPr>
      </c:legendEntry>
      <c:legendEntry>
        <c:idx val="1"/>
        <c:txPr>
          <a:bodyPr/>
          <a:lstStyle/>
          <a:p>
            <a:pPr>
              <a:defRPr sz="700"/>
            </a:pPr>
            <a:endParaRPr lang="en-US"/>
          </a:p>
        </c:txPr>
      </c:legendEntry>
      <c:legendEntry>
        <c:idx val="2"/>
        <c:txPr>
          <a:bodyPr/>
          <a:lstStyle/>
          <a:p>
            <a:pPr>
              <a:defRPr sz="700"/>
            </a:pPr>
            <a:endParaRPr lang="en-US"/>
          </a:p>
        </c:txPr>
      </c:legendEntry>
      <c:layout>
        <c:manualLayout>
          <c:xMode val="edge"/>
          <c:yMode val="edge"/>
          <c:x val="0.51490311927192722"/>
          <c:y val="6.6068485625342911E-3"/>
          <c:w val="0.48509688072807272"/>
          <c:h val="0.11692170554152428"/>
        </c:manualLayout>
      </c:layout>
      <c:overlay val="1"/>
      <c:spPr>
        <a:solidFill>
          <a:sysClr val="window" lastClr="FFFFFF"/>
        </a:solidFill>
      </c:sp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876432277844732"/>
          <c:y val="0.14528048841780036"/>
          <c:w val="0.8622711111111111"/>
          <c:h val="0.652039669537952"/>
        </c:manualLayout>
      </c:layout>
      <c:barChart>
        <c:barDir val="col"/>
        <c:grouping val="clustered"/>
        <c:varyColors val="0"/>
        <c:ser>
          <c:idx val="1"/>
          <c:order val="0"/>
          <c:tx>
            <c:strRef>
              <c:f>Summary!$C$106</c:f>
              <c:strCache>
                <c:ptCount val="1"/>
                <c:pt idx="0">
                  <c:v>19/20</c:v>
                </c:pt>
              </c:strCache>
            </c:strRef>
          </c:tx>
          <c:spPr>
            <a:solidFill>
              <a:srgbClr val="29398F"/>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Summary!$D$106:$P$106</c:f>
              <c:numCache>
                <c:formatCode>#,##0</c:formatCode>
                <c:ptCount val="13"/>
                <c:pt idx="0">
                  <c:v>15383.714285714286</c:v>
                </c:pt>
                <c:pt idx="1">
                  <c:v>15362</c:v>
                </c:pt>
                <c:pt idx="2">
                  <c:v>15044.857142857143</c:v>
                </c:pt>
                <c:pt idx="3">
                  <c:v>14660.571428571429</c:v>
                </c:pt>
                <c:pt idx="4">
                  <c:v>16412.857142857141</c:v>
                </c:pt>
                <c:pt idx="5">
                  <c:v>17087</c:v>
                </c:pt>
                <c:pt idx="6">
                  <c:v>16828.142857142859</c:v>
                </c:pt>
                <c:pt idx="7">
                  <c:v>16632.428571428572</c:v>
                </c:pt>
                <c:pt idx="8">
                  <c:v>16630.857142857141</c:v>
                </c:pt>
                <c:pt idx="9">
                  <c:v>16398.714285714286</c:v>
                </c:pt>
                <c:pt idx="10">
                  <c:v>16455.142857142859</c:v>
                </c:pt>
                <c:pt idx="11">
                  <c:v>16353.285714285714</c:v>
                </c:pt>
                <c:pt idx="12">
                  <c:v>16204.714285714286</c:v>
                </c:pt>
              </c:numCache>
            </c:numRef>
          </c:val>
        </c:ser>
        <c:dLbls>
          <c:showLegendKey val="0"/>
          <c:showVal val="0"/>
          <c:showCatName val="0"/>
          <c:showSerName val="0"/>
          <c:showPercent val="0"/>
          <c:showBubbleSize val="0"/>
        </c:dLbls>
        <c:gapWidth val="50"/>
        <c:axId val="411742976"/>
        <c:axId val="411745280"/>
      </c:barChart>
      <c:lineChart>
        <c:grouping val="standard"/>
        <c:varyColors val="0"/>
        <c:ser>
          <c:idx val="0"/>
          <c:order val="1"/>
          <c:tx>
            <c:strRef>
              <c:f>Summary!$C$104</c:f>
              <c:strCache>
                <c:ptCount val="1"/>
                <c:pt idx="0">
                  <c:v>18/19</c:v>
                </c:pt>
              </c:strCache>
            </c:strRef>
          </c:tx>
          <c:spPr>
            <a:ln w="25400">
              <a:solidFill>
                <a:srgbClr val="C00848"/>
              </a:solidFill>
              <a:prstDash val="dash"/>
            </a:ln>
          </c:spPr>
          <c:marker>
            <c:symbol val="none"/>
          </c:marker>
          <c:val>
            <c:numRef>
              <c:f>Summary!$D$104:$P$104</c:f>
              <c:numCache>
                <c:formatCode>#,##0</c:formatCode>
                <c:ptCount val="13"/>
                <c:pt idx="0">
                  <c:v>14924.714285714286</c:v>
                </c:pt>
                <c:pt idx="1">
                  <c:v>14588.571428571429</c:v>
                </c:pt>
                <c:pt idx="2">
                  <c:v>13976.857142857143</c:v>
                </c:pt>
                <c:pt idx="3">
                  <c:v>14105.857142857143</c:v>
                </c:pt>
                <c:pt idx="4">
                  <c:v>15564.142857142857</c:v>
                </c:pt>
                <c:pt idx="5">
                  <c:v>16009.142857142857</c:v>
                </c:pt>
                <c:pt idx="6">
                  <c:v>15653.428571428571</c:v>
                </c:pt>
                <c:pt idx="7">
                  <c:v>15549.857142857143</c:v>
                </c:pt>
                <c:pt idx="8">
                  <c:v>15636.714285714286</c:v>
                </c:pt>
                <c:pt idx="9">
                  <c:v>15513.285714285714</c:v>
                </c:pt>
                <c:pt idx="10">
                  <c:v>15632.285714285714</c:v>
                </c:pt>
                <c:pt idx="11">
                  <c:v>15644.285714285714</c:v>
                </c:pt>
                <c:pt idx="12">
                  <c:v>16095.714285714286</c:v>
                </c:pt>
              </c:numCache>
            </c:numRef>
          </c:val>
          <c:smooth val="0"/>
        </c:ser>
        <c:ser>
          <c:idx val="2"/>
          <c:order val="2"/>
          <c:tx>
            <c:v>17/18</c:v>
          </c:tx>
          <c:spPr>
            <a:ln w="25400">
              <a:solidFill>
                <a:srgbClr val="00A89C"/>
              </a:solidFill>
              <a:prstDash val="sysDot"/>
            </a:ln>
          </c:spPr>
          <c:marker>
            <c:symbol val="none"/>
          </c:marker>
          <c:val>
            <c:numRef>
              <c:f>Summary!$D$103:$P$103</c:f>
              <c:numCache>
                <c:formatCode>General</c:formatCode>
                <c:ptCount val="13"/>
                <c:pt idx="0">
                  <c:v>16587.714285714286</c:v>
                </c:pt>
                <c:pt idx="1">
                  <c:v>16862</c:v>
                </c:pt>
                <c:pt idx="2">
                  <c:v>15784.142857142857</c:v>
                </c:pt>
                <c:pt idx="3">
                  <c:v>16555.714285714286</c:v>
                </c:pt>
                <c:pt idx="4">
                  <c:v>17596.142857142859</c:v>
                </c:pt>
                <c:pt idx="5">
                  <c:v>17721.142857142859</c:v>
                </c:pt>
                <c:pt idx="6">
                  <c:v>17571.714285714286</c:v>
                </c:pt>
                <c:pt idx="7">
                  <c:v>17811.714285714286</c:v>
                </c:pt>
                <c:pt idx="8">
                  <c:v>17930.428571428572</c:v>
                </c:pt>
                <c:pt idx="9">
                  <c:v>17813</c:v>
                </c:pt>
                <c:pt idx="10">
                  <c:v>17990.857142857141</c:v>
                </c:pt>
                <c:pt idx="11">
                  <c:v>17795</c:v>
                </c:pt>
                <c:pt idx="12">
                  <c:v>17920.428571428572</c:v>
                </c:pt>
              </c:numCache>
            </c:numRef>
          </c:val>
          <c:smooth val="0"/>
        </c:ser>
        <c:dLbls>
          <c:showLegendKey val="0"/>
          <c:showVal val="0"/>
          <c:showCatName val="0"/>
          <c:showSerName val="0"/>
          <c:showPercent val="0"/>
          <c:showBubbleSize val="0"/>
        </c:dLbls>
        <c:marker val="1"/>
        <c:smooth val="0"/>
        <c:axId val="411742976"/>
        <c:axId val="411745280"/>
      </c:lineChart>
      <c:catAx>
        <c:axId val="411742976"/>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411745280"/>
        <c:crosses val="autoZero"/>
        <c:auto val="1"/>
        <c:lblAlgn val="ctr"/>
        <c:lblOffset val="100"/>
        <c:noMultiLvlLbl val="0"/>
      </c:catAx>
      <c:valAx>
        <c:axId val="411745280"/>
        <c:scaling>
          <c:orientation val="minMax"/>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411742976"/>
        <c:crosses val="autoZero"/>
        <c:crossBetween val="between"/>
      </c:valAx>
    </c:plotArea>
    <c:legend>
      <c:legendPos val="r"/>
      <c:legendEntry>
        <c:idx val="0"/>
        <c:txPr>
          <a:bodyPr/>
          <a:lstStyle/>
          <a:p>
            <a:pPr>
              <a:defRPr sz="700"/>
            </a:pPr>
            <a:endParaRPr lang="en-US"/>
          </a:p>
        </c:txPr>
      </c:legendEntry>
      <c:legendEntry>
        <c:idx val="1"/>
        <c:txPr>
          <a:bodyPr/>
          <a:lstStyle/>
          <a:p>
            <a:pPr>
              <a:defRPr sz="700"/>
            </a:pPr>
            <a:endParaRPr lang="en-US"/>
          </a:p>
        </c:txPr>
      </c:legendEntry>
      <c:legendEntry>
        <c:idx val="2"/>
        <c:txPr>
          <a:bodyPr/>
          <a:lstStyle/>
          <a:p>
            <a:pPr>
              <a:defRPr sz="700"/>
            </a:pPr>
            <a:endParaRPr lang="en-US"/>
          </a:p>
        </c:txPr>
      </c:legendEntry>
      <c:layout>
        <c:manualLayout>
          <c:xMode val="edge"/>
          <c:yMode val="edge"/>
          <c:x val="0.46943695479777953"/>
          <c:y val="3.7497916870570872E-2"/>
          <c:w val="0.50261697065820776"/>
          <c:h val="0.12601479364043502"/>
        </c:manualLayout>
      </c:layout>
      <c:overlay val="0"/>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Summary!$C$118</c:f>
              <c:strCache>
                <c:ptCount val="1"/>
                <c:pt idx="0">
                  <c:v>19/20</c:v>
                </c:pt>
              </c:strCache>
            </c:strRef>
          </c:tx>
          <c:spPr>
            <a:solidFill>
              <a:srgbClr val="29398F"/>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Summary!$D$118:$P$118</c:f>
              <c:numCache>
                <c:formatCode>#,##0</c:formatCode>
                <c:ptCount val="13"/>
                <c:pt idx="0">
                  <c:v>1025.7142857142858</c:v>
                </c:pt>
                <c:pt idx="1">
                  <c:v>892.42857142857144</c:v>
                </c:pt>
                <c:pt idx="2">
                  <c:v>799</c:v>
                </c:pt>
                <c:pt idx="3">
                  <c:v>447.85714285714283</c:v>
                </c:pt>
                <c:pt idx="4">
                  <c:v>554.57142857142856</c:v>
                </c:pt>
                <c:pt idx="5">
                  <c:v>804.28571428571433</c:v>
                </c:pt>
                <c:pt idx="6">
                  <c:v>626.71428571428567</c:v>
                </c:pt>
                <c:pt idx="7">
                  <c:v>773.42857142857144</c:v>
                </c:pt>
                <c:pt idx="8">
                  <c:v>775</c:v>
                </c:pt>
                <c:pt idx="9">
                  <c:v>657</c:v>
                </c:pt>
                <c:pt idx="10">
                  <c:v>578.57142857142856</c:v>
                </c:pt>
                <c:pt idx="11">
                  <c:v>507</c:v>
                </c:pt>
                <c:pt idx="12">
                  <c:v>608.14285714285711</c:v>
                </c:pt>
              </c:numCache>
            </c:numRef>
          </c:val>
        </c:ser>
        <c:dLbls>
          <c:showLegendKey val="0"/>
          <c:showVal val="0"/>
          <c:showCatName val="0"/>
          <c:showSerName val="0"/>
          <c:showPercent val="0"/>
          <c:showBubbleSize val="0"/>
        </c:dLbls>
        <c:gapWidth val="50"/>
        <c:axId val="411904640"/>
        <c:axId val="419249536"/>
      </c:barChart>
      <c:lineChart>
        <c:grouping val="standard"/>
        <c:varyColors val="0"/>
        <c:ser>
          <c:idx val="0"/>
          <c:order val="0"/>
          <c:tx>
            <c:strRef>
              <c:f>Summary!$C$116</c:f>
              <c:strCache>
                <c:ptCount val="1"/>
                <c:pt idx="0">
                  <c:v>18/19</c:v>
                </c:pt>
              </c:strCache>
            </c:strRef>
          </c:tx>
          <c:spPr>
            <a:ln w="25400">
              <a:solidFill>
                <a:srgbClr val="C00848"/>
              </a:solidFill>
              <a:prstDash val="dash"/>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Summary!$D$116:$P$116</c:f>
              <c:numCache>
                <c:formatCode>#,##0</c:formatCode>
                <c:ptCount val="13"/>
                <c:pt idx="0">
                  <c:v>493.57142857142856</c:v>
                </c:pt>
                <c:pt idx="1">
                  <c:v>372.85714285714283</c:v>
                </c:pt>
                <c:pt idx="2">
                  <c:v>510.85714285714283</c:v>
                </c:pt>
                <c:pt idx="3">
                  <c:v>504.28571428571428</c:v>
                </c:pt>
                <c:pt idx="4">
                  <c:v>397.85714285714283</c:v>
                </c:pt>
                <c:pt idx="5">
                  <c:v>616.85714285714289</c:v>
                </c:pt>
                <c:pt idx="6">
                  <c:v>566.71428571428567</c:v>
                </c:pt>
                <c:pt idx="7">
                  <c:v>530</c:v>
                </c:pt>
                <c:pt idx="8">
                  <c:v>708.85714285714289</c:v>
                </c:pt>
                <c:pt idx="9">
                  <c:v>652.85714285714289</c:v>
                </c:pt>
                <c:pt idx="10">
                  <c:v>628.42857142857144</c:v>
                </c:pt>
                <c:pt idx="11">
                  <c:v>557.14285714285711</c:v>
                </c:pt>
                <c:pt idx="12">
                  <c:v>683.57142857142856</c:v>
                </c:pt>
              </c:numCache>
            </c:numRef>
          </c:val>
          <c:smooth val="0"/>
        </c:ser>
        <c:ser>
          <c:idx val="2"/>
          <c:order val="2"/>
          <c:tx>
            <c:v>17/18</c:v>
          </c:tx>
          <c:spPr>
            <a:ln w="25400">
              <a:solidFill>
                <a:srgbClr val="00A89C"/>
              </a:solidFill>
              <a:prstDash val="sysDot"/>
            </a:ln>
          </c:spPr>
          <c:marker>
            <c:symbol val="none"/>
          </c:marker>
          <c:val>
            <c:numRef>
              <c:f>Summary!$D$115:$P$115</c:f>
              <c:numCache>
                <c:formatCode>0</c:formatCode>
                <c:ptCount val="13"/>
                <c:pt idx="0">
                  <c:v>1123.1428571428571</c:v>
                </c:pt>
                <c:pt idx="1">
                  <c:v>1071.4285714285713</c:v>
                </c:pt>
                <c:pt idx="2">
                  <c:v>811.71428571428567</c:v>
                </c:pt>
                <c:pt idx="3">
                  <c:v>731</c:v>
                </c:pt>
                <c:pt idx="4">
                  <c:v>943.85714285714289</c:v>
                </c:pt>
                <c:pt idx="5">
                  <c:v>621.28571428571433</c:v>
                </c:pt>
                <c:pt idx="6">
                  <c:v>742</c:v>
                </c:pt>
                <c:pt idx="7">
                  <c:v>672</c:v>
                </c:pt>
                <c:pt idx="8">
                  <c:v>640.28571428571433</c:v>
                </c:pt>
                <c:pt idx="9">
                  <c:v>816.85714285714289</c:v>
                </c:pt>
                <c:pt idx="10">
                  <c:v>840.85714285714289</c:v>
                </c:pt>
                <c:pt idx="11">
                  <c:v>949</c:v>
                </c:pt>
                <c:pt idx="12">
                  <c:v>751.28571428571433</c:v>
                </c:pt>
              </c:numCache>
            </c:numRef>
          </c:val>
          <c:smooth val="0"/>
        </c:ser>
        <c:dLbls>
          <c:showLegendKey val="0"/>
          <c:showVal val="0"/>
          <c:showCatName val="0"/>
          <c:showSerName val="0"/>
          <c:showPercent val="0"/>
          <c:showBubbleSize val="0"/>
        </c:dLbls>
        <c:marker val="1"/>
        <c:smooth val="0"/>
        <c:axId val="411904640"/>
        <c:axId val="419249536"/>
      </c:lineChart>
      <c:catAx>
        <c:axId val="411904640"/>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419249536"/>
        <c:crosses val="autoZero"/>
        <c:auto val="1"/>
        <c:lblAlgn val="ctr"/>
        <c:lblOffset val="100"/>
        <c:noMultiLvlLbl val="0"/>
      </c:catAx>
      <c:valAx>
        <c:axId val="419249536"/>
        <c:scaling>
          <c:orientation val="minMax"/>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411904640"/>
        <c:crosses val="autoZero"/>
        <c:crossBetween val="between"/>
      </c:valAx>
    </c:plotArea>
    <c:legend>
      <c:legendPos val="r"/>
      <c:layout>
        <c:manualLayout>
          <c:xMode val="edge"/>
          <c:yMode val="edge"/>
          <c:x val="0.41263573085846866"/>
          <c:y val="2.0904295403165137E-3"/>
          <c:w val="0.58736426914153128"/>
          <c:h val="9.3755850727387735E-2"/>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Summary!$C$134</c:f>
              <c:strCache>
                <c:ptCount val="1"/>
                <c:pt idx="0">
                  <c:v>19/20</c:v>
                </c:pt>
              </c:strCache>
            </c:strRef>
          </c:tx>
          <c:spPr>
            <a:solidFill>
              <a:srgbClr val="29398F"/>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Summary!$D$134:$P$134</c:f>
              <c:numCache>
                <c:formatCode>0</c:formatCode>
                <c:ptCount val="13"/>
                <c:pt idx="0">
                  <c:v>171.42857142857142</c:v>
                </c:pt>
                <c:pt idx="1">
                  <c:v>146.42857142857142</c:v>
                </c:pt>
                <c:pt idx="2">
                  <c:v>138.57142857142858</c:v>
                </c:pt>
                <c:pt idx="3">
                  <c:v>84.571428571428569</c:v>
                </c:pt>
                <c:pt idx="4">
                  <c:v>74.571428571428569</c:v>
                </c:pt>
                <c:pt idx="5">
                  <c:v>123.42857142857143</c:v>
                </c:pt>
                <c:pt idx="6">
                  <c:v>99.571428571428569</c:v>
                </c:pt>
                <c:pt idx="7">
                  <c:v>145.71428571428572</c:v>
                </c:pt>
                <c:pt idx="8">
                  <c:v>146.14285714285714</c:v>
                </c:pt>
                <c:pt idx="9">
                  <c:v>137.28571428571428</c:v>
                </c:pt>
                <c:pt idx="10">
                  <c:v>125.57142857142857</c:v>
                </c:pt>
                <c:pt idx="11">
                  <c:v>103.57142857142857</c:v>
                </c:pt>
                <c:pt idx="12">
                  <c:v>125.71428571428571</c:v>
                </c:pt>
              </c:numCache>
            </c:numRef>
          </c:val>
        </c:ser>
        <c:dLbls>
          <c:showLegendKey val="0"/>
          <c:showVal val="0"/>
          <c:showCatName val="0"/>
          <c:showSerName val="0"/>
          <c:showPercent val="0"/>
          <c:showBubbleSize val="0"/>
        </c:dLbls>
        <c:gapWidth val="50"/>
        <c:axId val="435401088"/>
        <c:axId val="435403392"/>
      </c:barChart>
      <c:lineChart>
        <c:grouping val="standard"/>
        <c:varyColors val="0"/>
        <c:ser>
          <c:idx val="0"/>
          <c:order val="0"/>
          <c:tx>
            <c:strRef>
              <c:f>Summary!$C$132</c:f>
              <c:strCache>
                <c:ptCount val="1"/>
                <c:pt idx="0">
                  <c:v>18/19</c:v>
                </c:pt>
              </c:strCache>
            </c:strRef>
          </c:tx>
          <c:spPr>
            <a:ln w="25400">
              <a:solidFill>
                <a:srgbClr val="C00848"/>
              </a:solidFill>
              <a:prstDash val="dash"/>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Summary!$D$132:$P$132</c:f>
              <c:numCache>
                <c:formatCode>#,##0</c:formatCode>
                <c:ptCount val="13"/>
                <c:pt idx="0">
                  <c:v>135.28571428571428</c:v>
                </c:pt>
                <c:pt idx="1">
                  <c:v>106.85714285714286</c:v>
                </c:pt>
                <c:pt idx="2">
                  <c:v>136</c:v>
                </c:pt>
                <c:pt idx="3">
                  <c:v>112.71428571428571</c:v>
                </c:pt>
                <c:pt idx="4">
                  <c:v>67.428571428571431</c:v>
                </c:pt>
                <c:pt idx="5">
                  <c:v>130.71428571428572</c:v>
                </c:pt>
                <c:pt idx="6">
                  <c:v>124.57142857142857</c:v>
                </c:pt>
                <c:pt idx="7">
                  <c:v>106.71428571428571</c:v>
                </c:pt>
                <c:pt idx="8">
                  <c:v>138</c:v>
                </c:pt>
                <c:pt idx="9">
                  <c:v>155.42857142857142</c:v>
                </c:pt>
                <c:pt idx="10">
                  <c:v>137.14285714285714</c:v>
                </c:pt>
                <c:pt idx="11">
                  <c:v>114.42857142857143</c:v>
                </c:pt>
                <c:pt idx="12">
                  <c:v>135.28571428571428</c:v>
                </c:pt>
              </c:numCache>
            </c:numRef>
          </c:val>
          <c:smooth val="0"/>
        </c:ser>
        <c:ser>
          <c:idx val="2"/>
          <c:order val="2"/>
          <c:tx>
            <c:v>17/18</c:v>
          </c:tx>
          <c:spPr>
            <a:ln w="25400">
              <a:solidFill>
                <a:srgbClr val="00A89C"/>
              </a:solidFill>
              <a:prstDash val="sysDot"/>
            </a:ln>
          </c:spPr>
          <c:marker>
            <c:symbol val="none"/>
          </c:marker>
          <c:val>
            <c:numRef>
              <c:f>Summary!$D$131:$P$131</c:f>
              <c:numCache>
                <c:formatCode>0</c:formatCode>
                <c:ptCount val="13"/>
                <c:pt idx="0">
                  <c:v>212.71428571428572</c:v>
                </c:pt>
                <c:pt idx="1">
                  <c:v>211.14285714285714</c:v>
                </c:pt>
                <c:pt idx="2">
                  <c:v>214.28571428571428</c:v>
                </c:pt>
                <c:pt idx="3">
                  <c:v>148.71428571428572</c:v>
                </c:pt>
                <c:pt idx="4">
                  <c:v>141.42857142857142</c:v>
                </c:pt>
                <c:pt idx="5">
                  <c:v>125.71428571428571</c:v>
                </c:pt>
                <c:pt idx="6">
                  <c:v>117.42857142857143</c:v>
                </c:pt>
                <c:pt idx="7">
                  <c:v>143.71428571428572</c:v>
                </c:pt>
                <c:pt idx="8">
                  <c:v>139.42857142857142</c:v>
                </c:pt>
                <c:pt idx="9">
                  <c:v>160</c:v>
                </c:pt>
                <c:pt idx="10">
                  <c:v>143.42857142857142</c:v>
                </c:pt>
                <c:pt idx="11">
                  <c:v>157.71428571428572</c:v>
                </c:pt>
                <c:pt idx="12">
                  <c:v>112.71428571428571</c:v>
                </c:pt>
              </c:numCache>
            </c:numRef>
          </c:val>
          <c:smooth val="0"/>
        </c:ser>
        <c:dLbls>
          <c:showLegendKey val="0"/>
          <c:showVal val="0"/>
          <c:showCatName val="0"/>
          <c:showSerName val="0"/>
          <c:showPercent val="0"/>
          <c:showBubbleSize val="0"/>
        </c:dLbls>
        <c:marker val="1"/>
        <c:smooth val="0"/>
        <c:axId val="435401088"/>
        <c:axId val="435403392"/>
      </c:lineChart>
      <c:catAx>
        <c:axId val="435401088"/>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435403392"/>
        <c:crosses val="autoZero"/>
        <c:auto val="1"/>
        <c:lblAlgn val="ctr"/>
        <c:lblOffset val="100"/>
        <c:noMultiLvlLbl val="0"/>
      </c:catAx>
      <c:valAx>
        <c:axId val="435403392"/>
        <c:scaling>
          <c:orientation val="minMax"/>
          <c:min val="0"/>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435401088"/>
        <c:crosses val="autoZero"/>
        <c:crossBetween val="between"/>
      </c:valAx>
    </c:plotArea>
    <c:legend>
      <c:legendPos val="r"/>
      <c:layout>
        <c:manualLayout>
          <c:xMode val="edge"/>
          <c:yMode val="edge"/>
          <c:x val="0.47451480824348302"/>
          <c:y val="2.4626978146194732E-3"/>
          <c:w val="0.51396260406714889"/>
          <c:h val="0.1419531941808981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GB" sz="900">
                <a:latin typeface="+mn-lt"/>
              </a:rPr>
              <a:t>Adult</a:t>
            </a:r>
            <a:r>
              <a:rPr lang="en-GB" sz="900" baseline="0">
                <a:latin typeface="+mn-lt"/>
              </a:rPr>
              <a:t> critical care occupancy</a:t>
            </a:r>
            <a:endParaRPr lang="en-GB" sz="900">
              <a:latin typeface="+mn-lt"/>
            </a:endParaRPr>
          </a:p>
        </c:rich>
      </c:tx>
      <c:layout>
        <c:manualLayout>
          <c:xMode val="edge"/>
          <c:yMode val="edge"/>
          <c:x val="0.12913115872799238"/>
          <c:y val="3.2131562302340294E-2"/>
        </c:manualLayout>
      </c:layout>
      <c:overlay val="1"/>
    </c:title>
    <c:autoTitleDeleted val="0"/>
    <c:plotArea>
      <c:layout>
        <c:manualLayout>
          <c:layoutTarget val="inner"/>
          <c:xMode val="edge"/>
          <c:yMode val="edge"/>
          <c:x val="9.6666848642009001E-2"/>
          <c:y val="4.6387940122285476E-2"/>
          <c:w val="0.90911089238845144"/>
          <c:h val="0.74377762365196576"/>
        </c:manualLayout>
      </c:layout>
      <c:barChart>
        <c:barDir val="col"/>
        <c:grouping val="clustered"/>
        <c:varyColors val="0"/>
        <c:ser>
          <c:idx val="1"/>
          <c:order val="1"/>
          <c:tx>
            <c:strRef>
              <c:f>Summary!$C$150</c:f>
              <c:strCache>
                <c:ptCount val="1"/>
                <c:pt idx="0">
                  <c:v>19/20</c:v>
                </c:pt>
              </c:strCache>
            </c:strRef>
          </c:tx>
          <c:spPr>
            <a:solidFill>
              <a:srgbClr val="29398F"/>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Summary!$D$150:$P$150</c:f>
              <c:numCache>
                <c:formatCode>0.0%</c:formatCode>
                <c:ptCount val="13"/>
                <c:pt idx="0">
                  <c:v>0.83083453405506447</c:v>
                </c:pt>
                <c:pt idx="1">
                  <c:v>0.83786411542799366</c:v>
                </c:pt>
                <c:pt idx="2">
                  <c:v>0.8412383177570093</c:v>
                </c:pt>
                <c:pt idx="3">
                  <c:v>0.78613350027388684</c:v>
                </c:pt>
                <c:pt idx="4">
                  <c:v>0.82354774613316706</c:v>
                </c:pt>
                <c:pt idx="5">
                  <c:v>0.84481688392302923</c:v>
                </c:pt>
                <c:pt idx="6">
                  <c:v>0.83203883495145636</c:v>
                </c:pt>
                <c:pt idx="7">
                  <c:v>0.81908099688473524</c:v>
                </c:pt>
                <c:pt idx="8">
                  <c:v>0.82227857978930941</c:v>
                </c:pt>
                <c:pt idx="9">
                  <c:v>0.81373885275906388</c:v>
                </c:pt>
                <c:pt idx="10">
                  <c:v>0.81617332451670621</c:v>
                </c:pt>
                <c:pt idx="11">
                  <c:v>0.81046031622400494</c:v>
                </c:pt>
                <c:pt idx="12">
                  <c:v>0.81750175329229335</c:v>
                </c:pt>
              </c:numCache>
            </c:numRef>
          </c:val>
        </c:ser>
        <c:dLbls>
          <c:showLegendKey val="0"/>
          <c:showVal val="0"/>
          <c:showCatName val="0"/>
          <c:showSerName val="0"/>
          <c:showPercent val="0"/>
          <c:showBubbleSize val="0"/>
        </c:dLbls>
        <c:gapWidth val="50"/>
        <c:axId val="459632640"/>
        <c:axId val="459635712"/>
      </c:barChart>
      <c:lineChart>
        <c:grouping val="standard"/>
        <c:varyColors val="0"/>
        <c:ser>
          <c:idx val="0"/>
          <c:order val="0"/>
          <c:tx>
            <c:strRef>
              <c:f>Summary!$C$148</c:f>
              <c:strCache>
                <c:ptCount val="1"/>
                <c:pt idx="0">
                  <c:v>18/19</c:v>
                </c:pt>
              </c:strCache>
            </c:strRef>
          </c:tx>
          <c:spPr>
            <a:ln w="25400">
              <a:solidFill>
                <a:srgbClr val="C00848"/>
              </a:solidFill>
              <a:prstDash val="dash"/>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Summary!$D$148:$P$148</c:f>
              <c:numCache>
                <c:formatCode>0.0%</c:formatCode>
                <c:ptCount val="13"/>
                <c:pt idx="0">
                  <c:v>0.8214008988067566</c:v>
                </c:pt>
                <c:pt idx="1">
                  <c:v>0.81303841676367872</c:v>
                </c:pt>
                <c:pt idx="2">
                  <c:v>0.80945519685346001</c:v>
                </c:pt>
                <c:pt idx="3">
                  <c:v>0.76777882205513781</c:v>
                </c:pt>
                <c:pt idx="4">
                  <c:v>0.832857422256992</c:v>
                </c:pt>
                <c:pt idx="5">
                  <c:v>0.8522935422268989</c:v>
                </c:pt>
                <c:pt idx="6">
                  <c:v>0.85241907413853113</c:v>
                </c:pt>
                <c:pt idx="7">
                  <c:v>0.85280763708331719</c:v>
                </c:pt>
                <c:pt idx="8">
                  <c:v>0.85627029534560073</c:v>
                </c:pt>
                <c:pt idx="9">
                  <c:v>0.85657153950689191</c:v>
                </c:pt>
                <c:pt idx="10">
                  <c:v>0.85114622057001244</c:v>
                </c:pt>
                <c:pt idx="11">
                  <c:v>0.833916355721393</c:v>
                </c:pt>
                <c:pt idx="12">
                  <c:v>0.82496897300651562</c:v>
                </c:pt>
              </c:numCache>
            </c:numRef>
          </c:val>
          <c:smooth val="0"/>
        </c:ser>
        <c:ser>
          <c:idx val="3"/>
          <c:order val="2"/>
          <c:tx>
            <c:v>17/18</c:v>
          </c:tx>
          <c:spPr>
            <a:ln w="25400">
              <a:solidFill>
                <a:srgbClr val="00A89C"/>
              </a:solidFill>
              <a:prstDash val="sysDot"/>
            </a:ln>
          </c:spPr>
          <c:marker>
            <c:symbol val="none"/>
          </c:marker>
          <c:val>
            <c:numRef>
              <c:f>Summary!$D$147:$P$147</c:f>
              <c:numCache>
                <c:formatCode>0.0%</c:formatCode>
                <c:ptCount val="13"/>
                <c:pt idx="0">
                  <c:v>0.8630408583757726</c:v>
                </c:pt>
                <c:pt idx="1">
                  <c:v>0.85207585453410328</c:v>
                </c:pt>
                <c:pt idx="2">
                  <c:v>0.82160617095422683</c:v>
                </c:pt>
                <c:pt idx="3">
                  <c:v>0.81886438291881747</c:v>
                </c:pt>
                <c:pt idx="4">
                  <c:v>0.86804004620716213</c:v>
                </c:pt>
                <c:pt idx="5">
                  <c:v>0.86891241578440803</c:v>
                </c:pt>
                <c:pt idx="6">
                  <c:v>0.86613281249999996</c:v>
                </c:pt>
                <c:pt idx="7">
                  <c:v>0.85156464183605529</c:v>
                </c:pt>
                <c:pt idx="8">
                  <c:v>0.85008205048058139</c:v>
                </c:pt>
                <c:pt idx="9">
                  <c:v>0.8552100082356171</c:v>
                </c:pt>
                <c:pt idx="10">
                  <c:v>0.84721788058768366</c:v>
                </c:pt>
                <c:pt idx="11">
                  <c:v>0.8570925041121642</c:v>
                </c:pt>
                <c:pt idx="12">
                  <c:v>0.8521715141483408</c:v>
                </c:pt>
              </c:numCache>
            </c:numRef>
          </c:val>
          <c:smooth val="0"/>
        </c:ser>
        <c:dLbls>
          <c:showLegendKey val="0"/>
          <c:showVal val="0"/>
          <c:showCatName val="0"/>
          <c:showSerName val="0"/>
          <c:showPercent val="0"/>
          <c:showBubbleSize val="0"/>
        </c:dLbls>
        <c:marker val="1"/>
        <c:smooth val="0"/>
        <c:axId val="459632640"/>
        <c:axId val="459635712"/>
      </c:lineChart>
      <c:catAx>
        <c:axId val="459632640"/>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459635712"/>
        <c:crosses val="autoZero"/>
        <c:auto val="1"/>
        <c:lblAlgn val="ctr"/>
        <c:lblOffset val="100"/>
        <c:noMultiLvlLbl val="0"/>
      </c:catAx>
      <c:valAx>
        <c:axId val="459635712"/>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459632640"/>
        <c:crosses val="autoZero"/>
        <c:crossBetween val="between"/>
        <c:majorUnit val="0.1"/>
      </c:valAx>
    </c:plotArea>
    <c:legend>
      <c:legendPos val="r"/>
      <c:layout>
        <c:manualLayout>
          <c:xMode val="edge"/>
          <c:yMode val="edge"/>
          <c:x val="0.62386160775214961"/>
          <c:y val="2.3938708867119176E-3"/>
          <c:w val="0.36836413266002455"/>
          <c:h val="0.12500780096985031"/>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a:pPr>
            <a:r>
              <a:rPr lang="en-GB" sz="900">
                <a:latin typeface="+mn-lt"/>
              </a:rPr>
              <a:t>Paediatric</a:t>
            </a:r>
            <a:r>
              <a:rPr lang="en-GB" sz="900" baseline="0">
                <a:latin typeface="+mn-lt"/>
              </a:rPr>
              <a:t> intensive care occupancy</a:t>
            </a:r>
          </a:p>
        </c:rich>
      </c:tx>
      <c:layout>
        <c:manualLayout>
          <c:xMode val="edge"/>
          <c:yMode val="edge"/>
          <c:x val="0.11973659069196126"/>
          <c:y val="4.5554473265940879E-2"/>
        </c:manualLayout>
      </c:layout>
      <c:overlay val="1"/>
    </c:title>
    <c:autoTitleDeleted val="0"/>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Summary!$C$174</c:f>
              <c:strCache>
                <c:ptCount val="1"/>
                <c:pt idx="0">
                  <c:v>19/20</c:v>
                </c:pt>
              </c:strCache>
            </c:strRef>
          </c:tx>
          <c:spPr>
            <a:solidFill>
              <a:srgbClr val="29398F"/>
            </a:solidFill>
            <a:ln w="19050"/>
          </c:spPr>
          <c:invertIfNegative val="0"/>
          <c:cat>
            <c:numRef>
              <c:f>Summary!$D$5:$P$5</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Summary!$D$174:$P$174</c:f>
              <c:numCache>
                <c:formatCode>0.0%</c:formatCode>
                <c:ptCount val="13"/>
                <c:pt idx="0">
                  <c:v>0.86875315497223626</c:v>
                </c:pt>
                <c:pt idx="1">
                  <c:v>0.85352255448555503</c:v>
                </c:pt>
                <c:pt idx="2">
                  <c:v>0.85447195553309752</c:v>
                </c:pt>
                <c:pt idx="3">
                  <c:v>0.82015503875968987</c:v>
                </c:pt>
                <c:pt idx="4">
                  <c:v>0.80145152928978747</c:v>
                </c:pt>
                <c:pt idx="5">
                  <c:v>0.8007284079084287</c:v>
                </c:pt>
                <c:pt idx="6">
                  <c:v>0.79655712050078242</c:v>
                </c:pt>
                <c:pt idx="7">
                  <c:v>0.77703398558187431</c:v>
                </c:pt>
                <c:pt idx="8">
                  <c:v>0.78215767634854771</c:v>
                </c:pt>
                <c:pt idx="9">
                  <c:v>0.7951370926021728</c:v>
                </c:pt>
                <c:pt idx="10">
                  <c:v>0.75413223140495866</c:v>
                </c:pt>
                <c:pt idx="11">
                  <c:v>0.77308294209702655</c:v>
                </c:pt>
                <c:pt idx="12">
                  <c:v>0.78416149068322982</c:v>
                </c:pt>
              </c:numCache>
            </c:numRef>
          </c:val>
        </c:ser>
        <c:dLbls>
          <c:showLegendKey val="0"/>
          <c:showVal val="0"/>
          <c:showCatName val="0"/>
          <c:showSerName val="0"/>
          <c:showPercent val="0"/>
          <c:showBubbleSize val="0"/>
        </c:dLbls>
        <c:gapWidth val="50"/>
        <c:axId val="463088256"/>
        <c:axId val="498782208"/>
      </c:barChart>
      <c:lineChart>
        <c:grouping val="standard"/>
        <c:varyColors val="0"/>
        <c:ser>
          <c:idx val="0"/>
          <c:order val="0"/>
          <c:tx>
            <c:strRef>
              <c:f>Summary!$C$172</c:f>
              <c:strCache>
                <c:ptCount val="1"/>
                <c:pt idx="0">
                  <c:v>18/19</c:v>
                </c:pt>
              </c:strCache>
            </c:strRef>
          </c:tx>
          <c:spPr>
            <a:ln w="25400">
              <a:solidFill>
                <a:srgbClr val="C00848"/>
              </a:solidFill>
              <a:prstDash val="dash"/>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Summary!$D$172:$P$172</c:f>
              <c:numCache>
                <c:formatCode>0.0%</c:formatCode>
                <c:ptCount val="13"/>
                <c:pt idx="0">
                  <c:v>0.8470066518847007</c:v>
                </c:pt>
                <c:pt idx="1">
                  <c:v>0.79902329075882794</c:v>
                </c:pt>
                <c:pt idx="2">
                  <c:v>0.80173482032218091</c:v>
                </c:pt>
                <c:pt idx="3">
                  <c:v>0.75762784701332186</c:v>
                </c:pt>
                <c:pt idx="4">
                  <c:v>0.73459119496855341</c:v>
                </c:pt>
                <c:pt idx="5">
                  <c:v>0.79054726368159201</c:v>
                </c:pt>
                <c:pt idx="6">
                  <c:v>0.8119218910585817</c:v>
                </c:pt>
                <c:pt idx="7">
                  <c:v>0.7984415584415584</c:v>
                </c:pt>
                <c:pt idx="8">
                  <c:v>0.80603015075376883</c:v>
                </c:pt>
                <c:pt idx="9">
                  <c:v>0.7935710698141637</c:v>
                </c:pt>
                <c:pt idx="10">
                  <c:v>0.79300000000000004</c:v>
                </c:pt>
                <c:pt idx="11">
                  <c:v>0.77272727272727271</c:v>
                </c:pt>
                <c:pt idx="12">
                  <c:v>0.75228891149542221</c:v>
                </c:pt>
              </c:numCache>
            </c:numRef>
          </c:val>
          <c:smooth val="0"/>
        </c:ser>
        <c:ser>
          <c:idx val="3"/>
          <c:order val="2"/>
          <c:tx>
            <c:v>17/18</c:v>
          </c:tx>
          <c:spPr>
            <a:ln w="25400">
              <a:solidFill>
                <a:srgbClr val="00A89C"/>
              </a:solidFill>
              <a:prstDash val="sysDot"/>
            </a:ln>
          </c:spPr>
          <c:marker>
            <c:symbol val="none"/>
          </c:marker>
          <c:val>
            <c:numRef>
              <c:f>Summary!$D$171:$P$171</c:f>
              <c:numCache>
                <c:formatCode>0.0%</c:formatCode>
                <c:ptCount val="13"/>
                <c:pt idx="0">
                  <c:v>0.82548262548262552</c:v>
                </c:pt>
                <c:pt idx="1">
                  <c:v>0.8361970217640321</c:v>
                </c:pt>
                <c:pt idx="2">
                  <c:v>0.79832572298325721</c:v>
                </c:pt>
                <c:pt idx="3">
                  <c:v>0.77777777777777779</c:v>
                </c:pt>
                <c:pt idx="4">
                  <c:v>0.77381404174573054</c:v>
                </c:pt>
                <c:pt idx="5">
                  <c:v>0.74512800917080624</c:v>
                </c:pt>
                <c:pt idx="6">
                  <c:v>0.7752417794970986</c:v>
                </c:pt>
                <c:pt idx="7">
                  <c:v>0.77072037180480246</c:v>
                </c:pt>
                <c:pt idx="8">
                  <c:v>0.78565861262665626</c:v>
                </c:pt>
                <c:pt idx="9">
                  <c:v>0.76376415462709879</c:v>
                </c:pt>
                <c:pt idx="10">
                  <c:v>0.77830188679245282</c:v>
                </c:pt>
                <c:pt idx="11">
                  <c:v>0.75872769588828548</c:v>
                </c:pt>
                <c:pt idx="12">
                  <c:v>0.73317775184753009</c:v>
                </c:pt>
              </c:numCache>
            </c:numRef>
          </c:val>
          <c:smooth val="0"/>
        </c:ser>
        <c:dLbls>
          <c:showLegendKey val="0"/>
          <c:showVal val="0"/>
          <c:showCatName val="0"/>
          <c:showSerName val="0"/>
          <c:showPercent val="0"/>
          <c:showBubbleSize val="0"/>
        </c:dLbls>
        <c:marker val="1"/>
        <c:smooth val="0"/>
        <c:axId val="463088256"/>
        <c:axId val="498782208"/>
      </c:lineChart>
      <c:catAx>
        <c:axId val="463088256"/>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498782208"/>
        <c:crosses val="autoZero"/>
        <c:auto val="1"/>
        <c:lblAlgn val="ctr"/>
        <c:lblOffset val="100"/>
        <c:noMultiLvlLbl val="0"/>
      </c:catAx>
      <c:valAx>
        <c:axId val="498782208"/>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463088256"/>
        <c:crosses val="autoZero"/>
        <c:crossBetween val="between"/>
        <c:majorUnit val="0.1"/>
      </c:valAx>
    </c:plotArea>
    <c:legend>
      <c:legendPos val="r"/>
      <c:layout>
        <c:manualLayout>
          <c:xMode val="edge"/>
          <c:yMode val="edge"/>
          <c:x val="0.62732823802374782"/>
          <c:y val="1.1384984815311816E-3"/>
          <c:w val="0.36489750238842639"/>
          <c:h val="0.14346117685226037"/>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900"/>
            </a:pPr>
            <a:r>
              <a:rPr lang="en-GB" sz="900" b="1">
                <a:latin typeface="+mn-lt"/>
              </a:rPr>
              <a:t>Neonatal</a:t>
            </a:r>
            <a:r>
              <a:rPr lang="en-GB" sz="900" b="1" baseline="0">
                <a:latin typeface="+mn-lt"/>
              </a:rPr>
              <a:t> intensive care o</a:t>
            </a:r>
            <a:r>
              <a:rPr lang="en-GB" sz="900" b="1">
                <a:latin typeface="+mn-lt"/>
              </a:rPr>
              <a:t>ccupancy</a:t>
            </a:r>
            <a:endParaRPr lang="en-GB" sz="900" b="1" baseline="0">
              <a:latin typeface="+mn-lt"/>
            </a:endParaRPr>
          </a:p>
        </c:rich>
      </c:tx>
      <c:layout>
        <c:manualLayout>
          <c:xMode val="edge"/>
          <c:yMode val="edge"/>
          <c:x val="0.12219789818479597"/>
          <c:y val="4.2463075722614138E-2"/>
        </c:manualLayout>
      </c:layout>
      <c:overlay val="1"/>
    </c:title>
    <c:autoTitleDeleted val="0"/>
    <c:plotArea>
      <c:layout>
        <c:manualLayout>
          <c:layoutTarget val="inner"/>
          <c:xMode val="edge"/>
          <c:yMode val="edge"/>
          <c:x val="9.6666848642009001E-2"/>
          <c:y val="0.13145629185185062"/>
          <c:w val="0.90911089238845144"/>
          <c:h val="0.74377762365196576"/>
        </c:manualLayout>
      </c:layout>
      <c:barChart>
        <c:barDir val="col"/>
        <c:grouping val="clustered"/>
        <c:varyColors val="0"/>
        <c:ser>
          <c:idx val="1"/>
          <c:order val="1"/>
          <c:tx>
            <c:strRef>
              <c:f>Summary!$C$198</c:f>
              <c:strCache>
                <c:ptCount val="1"/>
                <c:pt idx="0">
                  <c:v>19/20</c:v>
                </c:pt>
              </c:strCache>
            </c:strRef>
          </c:tx>
          <c:spPr>
            <a:solidFill>
              <a:srgbClr val="29398F"/>
            </a:solidFill>
            <a:ln w="19050"/>
          </c:spPr>
          <c:invertIfNegative val="0"/>
          <c:cat>
            <c:strRef>
              <c:f>Summary!$D$4:$P$4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Summary!$D$198:$P$198</c:f>
              <c:numCache>
                <c:formatCode>0.0%</c:formatCode>
                <c:ptCount val="13"/>
                <c:pt idx="0">
                  <c:v>0.73157389635316694</c:v>
                </c:pt>
                <c:pt idx="1">
                  <c:v>0.74428653735356254</c:v>
                </c:pt>
                <c:pt idx="2">
                  <c:v>0.74739259401014257</c:v>
                </c:pt>
                <c:pt idx="3">
                  <c:v>0.71139386928860615</c:v>
                </c:pt>
                <c:pt idx="4">
                  <c:v>0.69080027029636071</c:v>
                </c:pt>
                <c:pt idx="5">
                  <c:v>0.70377503852080125</c:v>
                </c:pt>
                <c:pt idx="6">
                  <c:v>0.69971236816874405</c:v>
                </c:pt>
                <c:pt idx="7">
                  <c:v>0.6976788981989791</c:v>
                </c:pt>
                <c:pt idx="8">
                  <c:v>0.70355349555813051</c:v>
                </c:pt>
                <c:pt idx="9">
                  <c:v>0.69191677054367628</c:v>
                </c:pt>
                <c:pt idx="10">
                  <c:v>0.70221752903907075</c:v>
                </c:pt>
                <c:pt idx="11">
                  <c:v>0.69187997315693606</c:v>
                </c:pt>
                <c:pt idx="12">
                  <c:v>0.67915896038158274</c:v>
                </c:pt>
              </c:numCache>
            </c:numRef>
          </c:val>
        </c:ser>
        <c:dLbls>
          <c:showLegendKey val="0"/>
          <c:showVal val="0"/>
          <c:showCatName val="0"/>
          <c:showSerName val="0"/>
          <c:showPercent val="0"/>
          <c:showBubbleSize val="0"/>
        </c:dLbls>
        <c:gapWidth val="50"/>
        <c:axId val="561923968"/>
        <c:axId val="561932160"/>
      </c:barChart>
      <c:lineChart>
        <c:grouping val="standard"/>
        <c:varyColors val="0"/>
        <c:ser>
          <c:idx val="0"/>
          <c:order val="0"/>
          <c:tx>
            <c:strRef>
              <c:f>Summary!$C$196</c:f>
              <c:strCache>
                <c:ptCount val="1"/>
                <c:pt idx="0">
                  <c:v>18/19</c:v>
                </c:pt>
              </c:strCache>
            </c:strRef>
          </c:tx>
          <c:spPr>
            <a:ln w="25400">
              <a:solidFill>
                <a:srgbClr val="C00848"/>
              </a:solidFill>
              <a:prstDash val="dash"/>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Summary!$D$196:$P$196</c:f>
              <c:numCache>
                <c:formatCode>0.0%</c:formatCode>
                <c:ptCount val="13"/>
                <c:pt idx="0">
                  <c:v>0.69096181730304496</c:v>
                </c:pt>
                <c:pt idx="1">
                  <c:v>0.68640308582449372</c:v>
                </c:pt>
                <c:pt idx="2">
                  <c:v>0.70125482625482627</c:v>
                </c:pt>
                <c:pt idx="3">
                  <c:v>0.67523772559673978</c:v>
                </c:pt>
                <c:pt idx="4">
                  <c:v>0.67860967773342418</c:v>
                </c:pt>
                <c:pt idx="5">
                  <c:v>0.7047045101088647</c:v>
                </c:pt>
                <c:pt idx="6">
                  <c:v>0.70674656872221153</c:v>
                </c:pt>
                <c:pt idx="7">
                  <c:v>0.69299999999999995</c:v>
                </c:pt>
                <c:pt idx="8">
                  <c:v>0.69054028071524709</c:v>
                </c:pt>
                <c:pt idx="9">
                  <c:v>0.68815229996134519</c:v>
                </c:pt>
                <c:pt idx="10">
                  <c:v>0.68855932203389836</c:v>
                </c:pt>
                <c:pt idx="11">
                  <c:v>0.68424101969872542</c:v>
                </c:pt>
                <c:pt idx="12">
                  <c:v>0.67744738366480017</c:v>
                </c:pt>
              </c:numCache>
            </c:numRef>
          </c:val>
          <c:smooth val="0"/>
        </c:ser>
        <c:ser>
          <c:idx val="3"/>
          <c:order val="2"/>
          <c:tx>
            <c:v>17/18</c:v>
          </c:tx>
          <c:spPr>
            <a:ln w="25400">
              <a:solidFill>
                <a:srgbClr val="00A89C"/>
              </a:solidFill>
              <a:prstDash val="sysDot"/>
            </a:ln>
          </c:spPr>
          <c:marker>
            <c:symbol val="none"/>
          </c:marker>
          <c:val>
            <c:numRef>
              <c:f>Summary!$D$195:$P$195</c:f>
              <c:numCache>
                <c:formatCode>0.0%</c:formatCode>
                <c:ptCount val="13"/>
                <c:pt idx="0">
                  <c:v>0.73465326833150935</c:v>
                </c:pt>
                <c:pt idx="1">
                  <c:v>0.72341918027858498</c:v>
                </c:pt>
                <c:pt idx="2">
                  <c:v>0.73064209155564463</c:v>
                </c:pt>
                <c:pt idx="3">
                  <c:v>0.7099442008768434</c:v>
                </c:pt>
                <c:pt idx="4">
                  <c:v>0.71733966745843225</c:v>
                </c:pt>
                <c:pt idx="5">
                  <c:v>0.69255791030064073</c:v>
                </c:pt>
                <c:pt idx="6">
                  <c:v>0.71183923975450403</c:v>
                </c:pt>
                <c:pt idx="7">
                  <c:v>0.69433336584414318</c:v>
                </c:pt>
                <c:pt idx="8">
                  <c:v>0.70073349633251836</c:v>
                </c:pt>
                <c:pt idx="9">
                  <c:v>0.68913410875832593</c:v>
                </c:pt>
                <c:pt idx="10">
                  <c:v>0.68751232984809629</c:v>
                </c:pt>
                <c:pt idx="11">
                  <c:v>0.68064579641661749</c:v>
                </c:pt>
                <c:pt idx="12">
                  <c:v>0.68395621733556844</c:v>
                </c:pt>
              </c:numCache>
            </c:numRef>
          </c:val>
          <c:smooth val="0"/>
        </c:ser>
        <c:dLbls>
          <c:showLegendKey val="0"/>
          <c:showVal val="0"/>
          <c:showCatName val="0"/>
          <c:showSerName val="0"/>
          <c:showPercent val="0"/>
          <c:showBubbleSize val="0"/>
        </c:dLbls>
        <c:marker val="1"/>
        <c:smooth val="0"/>
        <c:axId val="561923968"/>
        <c:axId val="561932160"/>
      </c:lineChart>
      <c:catAx>
        <c:axId val="561923968"/>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61932160"/>
        <c:crosses val="autoZero"/>
        <c:auto val="1"/>
        <c:lblAlgn val="ctr"/>
        <c:lblOffset val="100"/>
        <c:noMultiLvlLbl val="0"/>
      </c:catAx>
      <c:valAx>
        <c:axId val="561932160"/>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61923968"/>
        <c:crosses val="autoZero"/>
        <c:crossBetween val="between"/>
        <c:majorUnit val="0.1"/>
      </c:valAx>
    </c:plotArea>
    <c:legend>
      <c:legendPos val="r"/>
      <c:layout>
        <c:manualLayout>
          <c:xMode val="edge"/>
          <c:yMode val="edge"/>
          <c:x val="0.59877084755015697"/>
          <c:y val="1.3196984399492418E-3"/>
          <c:w val="0.40122915244984303"/>
          <c:h val="0.1504413276063907"/>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17</xdr:col>
      <xdr:colOff>33866</xdr:colOff>
      <xdr:row>4</xdr:row>
      <xdr:rowOff>53974</xdr:rowOff>
    </xdr:from>
    <xdr:to>
      <xdr:col>23</xdr:col>
      <xdr:colOff>414666</xdr:colOff>
      <xdr:row>18</xdr:row>
      <xdr:rowOff>139474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28575</xdr:colOff>
      <xdr:row>62</xdr:row>
      <xdr:rowOff>104774</xdr:rowOff>
    </xdr:from>
    <xdr:to>
      <xdr:col>23</xdr:col>
      <xdr:colOff>580575</xdr:colOff>
      <xdr:row>76</xdr:row>
      <xdr:rowOff>95024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61</xdr:row>
      <xdr:rowOff>190500</xdr:rowOff>
    </xdr:from>
    <xdr:to>
      <xdr:col>29</xdr:col>
      <xdr:colOff>9525</xdr:colOff>
      <xdr:row>61</xdr:row>
      <xdr:rowOff>190500</xdr:rowOff>
    </xdr:to>
    <xdr:cxnSp macro="">
      <xdr:nvCxnSpPr>
        <xdr:cNvPr id="5" name="Straight Connector 4"/>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78</xdr:row>
      <xdr:rowOff>190500</xdr:rowOff>
    </xdr:from>
    <xdr:to>
      <xdr:col>29</xdr:col>
      <xdr:colOff>9525</xdr:colOff>
      <xdr:row>78</xdr:row>
      <xdr:rowOff>190500</xdr:rowOff>
    </xdr:to>
    <xdr:cxnSp macro="">
      <xdr:nvCxnSpPr>
        <xdr:cNvPr id="6" name="Straight Connector 5"/>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104775</xdr:colOff>
      <xdr:row>78</xdr:row>
      <xdr:rowOff>352425</xdr:rowOff>
    </xdr:from>
    <xdr:to>
      <xdr:col>24</xdr:col>
      <xdr:colOff>95250</xdr:colOff>
      <xdr:row>89</xdr:row>
      <xdr:rowOff>180975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113242</xdr:colOff>
      <xdr:row>102</xdr:row>
      <xdr:rowOff>10584</xdr:rowOff>
    </xdr:from>
    <xdr:to>
      <xdr:col>25</xdr:col>
      <xdr:colOff>84667</xdr:colOff>
      <xdr:row>113</xdr:row>
      <xdr:rowOff>186269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113</xdr:row>
      <xdr:rowOff>190500</xdr:rowOff>
    </xdr:from>
    <xdr:to>
      <xdr:col>29</xdr:col>
      <xdr:colOff>9525</xdr:colOff>
      <xdr:row>113</xdr:row>
      <xdr:rowOff>190500</xdr:rowOff>
    </xdr:to>
    <xdr:cxnSp macro="">
      <xdr:nvCxnSpPr>
        <xdr:cNvPr id="7" name="Straight Connector 6"/>
        <xdr:cNvCxnSpPr/>
      </xdr:nvCxnSpPr>
      <xdr:spPr>
        <a:xfrm>
          <a:off x="123825" y="4953000"/>
          <a:ext cx="13954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133350</xdr:colOff>
      <xdr:row>114</xdr:row>
      <xdr:rowOff>180975</xdr:rowOff>
    </xdr:from>
    <xdr:to>
      <xdr:col>23</xdr:col>
      <xdr:colOff>494850</xdr:colOff>
      <xdr:row>128</xdr:row>
      <xdr:rowOff>171225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28575</xdr:colOff>
      <xdr:row>131</xdr:row>
      <xdr:rowOff>0</xdr:rowOff>
    </xdr:from>
    <xdr:to>
      <xdr:col>23</xdr:col>
      <xdr:colOff>580575</xdr:colOff>
      <xdr:row>144</xdr:row>
      <xdr:rowOff>180750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145</xdr:row>
      <xdr:rowOff>190500</xdr:rowOff>
    </xdr:from>
    <xdr:to>
      <xdr:col>29</xdr:col>
      <xdr:colOff>9525</xdr:colOff>
      <xdr:row>145</xdr:row>
      <xdr:rowOff>190500</xdr:rowOff>
    </xdr:to>
    <xdr:cxnSp macro="">
      <xdr:nvCxnSpPr>
        <xdr:cNvPr id="13" name="Straight Connector 12"/>
        <xdr:cNvCxnSpPr/>
      </xdr:nvCxnSpPr>
      <xdr:spPr>
        <a:xfrm>
          <a:off x="123825" y="77152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146</xdr:row>
      <xdr:rowOff>19050</xdr:rowOff>
    </xdr:from>
    <xdr:to>
      <xdr:col>23</xdr:col>
      <xdr:colOff>542475</xdr:colOff>
      <xdr:row>159</xdr:row>
      <xdr:rowOff>104550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169</xdr:row>
      <xdr:rowOff>190500</xdr:rowOff>
    </xdr:from>
    <xdr:to>
      <xdr:col>29</xdr:col>
      <xdr:colOff>9525</xdr:colOff>
      <xdr:row>169</xdr:row>
      <xdr:rowOff>190500</xdr:rowOff>
    </xdr:to>
    <xdr:cxnSp macro="">
      <xdr:nvCxnSpPr>
        <xdr:cNvPr id="15" name="Straight Connector 14"/>
        <xdr:cNvCxnSpPr/>
      </xdr:nvCxnSpPr>
      <xdr:spPr>
        <a:xfrm>
          <a:off x="123825" y="121920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193</xdr:row>
      <xdr:rowOff>190500</xdr:rowOff>
    </xdr:from>
    <xdr:to>
      <xdr:col>29</xdr:col>
      <xdr:colOff>9525</xdr:colOff>
      <xdr:row>193</xdr:row>
      <xdr:rowOff>190500</xdr:rowOff>
    </xdr:to>
    <xdr:cxnSp macro="">
      <xdr:nvCxnSpPr>
        <xdr:cNvPr id="16" name="Straight Connector 15"/>
        <xdr:cNvCxnSpPr/>
      </xdr:nvCxnSpPr>
      <xdr:spPr>
        <a:xfrm>
          <a:off x="123825" y="155257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217</xdr:row>
      <xdr:rowOff>190500</xdr:rowOff>
    </xdr:from>
    <xdr:to>
      <xdr:col>29</xdr:col>
      <xdr:colOff>9525</xdr:colOff>
      <xdr:row>217</xdr:row>
      <xdr:rowOff>190500</xdr:rowOff>
    </xdr:to>
    <xdr:cxnSp macro="">
      <xdr:nvCxnSpPr>
        <xdr:cNvPr id="17" name="Straight Connector 16"/>
        <xdr:cNvCxnSpPr/>
      </xdr:nvCxnSpPr>
      <xdr:spPr>
        <a:xfrm>
          <a:off x="123825" y="188595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xdr:colOff>
      <xdr:row>169</xdr:row>
      <xdr:rowOff>295275</xdr:rowOff>
    </xdr:from>
    <xdr:to>
      <xdr:col>23</xdr:col>
      <xdr:colOff>580575</xdr:colOff>
      <xdr:row>182</xdr:row>
      <xdr:rowOff>190275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0</xdr:colOff>
      <xdr:row>193</xdr:row>
      <xdr:rowOff>352425</xdr:rowOff>
    </xdr:from>
    <xdr:to>
      <xdr:col>23</xdr:col>
      <xdr:colOff>552000</xdr:colOff>
      <xdr:row>207</xdr:row>
      <xdr:rowOff>56925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142875</xdr:colOff>
      <xdr:row>217</xdr:row>
      <xdr:rowOff>333375</xdr:rowOff>
    </xdr:from>
    <xdr:to>
      <xdr:col>23</xdr:col>
      <xdr:colOff>561975</xdr:colOff>
      <xdr:row>230</xdr:row>
      <xdr:rowOff>142875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28575</xdr:colOff>
      <xdr:row>243</xdr:row>
      <xdr:rowOff>114300</xdr:rowOff>
    </xdr:from>
    <xdr:to>
      <xdr:col>23</xdr:col>
      <xdr:colOff>571500</xdr:colOff>
      <xdr:row>256</xdr:row>
      <xdr:rowOff>9524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104775</xdr:colOff>
      <xdr:row>20</xdr:row>
      <xdr:rowOff>47625</xdr:rowOff>
    </xdr:from>
    <xdr:to>
      <xdr:col>23</xdr:col>
      <xdr:colOff>485775</xdr:colOff>
      <xdr:row>33</xdr:row>
      <xdr:rowOff>66449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9525</xdr:colOff>
      <xdr:row>19</xdr:row>
      <xdr:rowOff>190500</xdr:rowOff>
    </xdr:from>
    <xdr:to>
      <xdr:col>29</xdr:col>
      <xdr:colOff>9525</xdr:colOff>
      <xdr:row>19</xdr:row>
      <xdr:rowOff>190500</xdr:rowOff>
    </xdr:to>
    <xdr:cxnSp macro="">
      <xdr:nvCxnSpPr>
        <xdr:cNvPr id="24" name="Straight Connector 23"/>
        <xdr:cNvCxnSpPr/>
      </xdr:nvCxnSpPr>
      <xdr:spPr>
        <a:xfrm>
          <a:off x="123825" y="6400800"/>
          <a:ext cx="157924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171450</xdr:colOff>
      <xdr:row>34</xdr:row>
      <xdr:rowOff>76199</xdr:rowOff>
    </xdr:from>
    <xdr:to>
      <xdr:col>23</xdr:col>
      <xdr:colOff>514350</xdr:colOff>
      <xdr:row>48</xdr:row>
      <xdr:rowOff>18824</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180975</xdr:colOff>
      <xdr:row>48</xdr:row>
      <xdr:rowOff>66675</xdr:rowOff>
    </xdr:from>
    <xdr:to>
      <xdr:col>23</xdr:col>
      <xdr:colOff>542475</xdr:colOff>
      <xdr:row>61</xdr:row>
      <xdr:rowOff>152175</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68793</xdr:colOff>
      <xdr:row>91</xdr:row>
      <xdr:rowOff>21165</xdr:rowOff>
    </xdr:from>
    <xdr:to>
      <xdr:col>25</xdr:col>
      <xdr:colOff>2</xdr:colOff>
      <xdr:row>102</xdr:row>
      <xdr:rowOff>186266</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21167</xdr:colOff>
      <xdr:row>231</xdr:row>
      <xdr:rowOff>74083</xdr:rowOff>
    </xdr:from>
    <xdr:to>
      <xdr:col>23</xdr:col>
      <xdr:colOff>426509</xdr:colOff>
      <xdr:row>242</xdr:row>
      <xdr:rowOff>170391</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Total beds</a:t>
          </a:r>
        </a:p>
      </cdr:txBody>
    </cdr:sp>
  </cdr:relSizeAnchor>
</c:userShapes>
</file>

<file path=xl/drawings/drawing11.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14</a:t>
          </a:r>
          <a:r>
            <a:rPr lang="en-GB" sz="800" b="1" baseline="0"/>
            <a:t> days</a:t>
          </a:r>
          <a:endParaRPr lang="en-GB" sz="800" b="1"/>
        </a:p>
      </cdr:txBody>
    </cdr:sp>
  </cdr:relSizeAnchor>
</c:userShapes>
</file>

<file path=xl/drawings/drawing12.xml><?xml version="1.0" encoding="utf-8"?>
<c:userShapes xmlns:c="http://schemas.openxmlformats.org/drawingml/2006/chart">
  <cdr:relSizeAnchor xmlns:cdr="http://schemas.openxmlformats.org/drawingml/2006/chartDrawing">
    <cdr:from>
      <cdr:x>0.11378</cdr:x>
      <cdr:y>0.03175</cdr:y>
    </cdr:from>
    <cdr:to>
      <cdr:x>0.41805</cdr:x>
      <cdr:y>0.16404</cdr:y>
    </cdr:to>
    <cdr:sp macro="" textlink="">
      <cdr:nvSpPr>
        <cdr:cNvPr id="2" name="TextBox 1"/>
        <cdr:cNvSpPr txBox="1"/>
      </cdr:nvSpPr>
      <cdr:spPr>
        <a:xfrm xmlns:a="http://schemas.openxmlformats.org/drawingml/2006/main">
          <a:off x="409590" y="57153"/>
          <a:ext cx="1095372" cy="238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 delays &gt;30 mins</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 name="Rectangle 3"/>
        <xdr:cNvSpPr/>
      </xdr:nvSpPr>
      <xdr:spPr>
        <a:xfrm>
          <a:off x="0" y="0"/>
          <a:ext cx="0" cy="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1</xdr:col>
      <xdr:colOff>285750</xdr:colOff>
      <xdr:row>4</xdr:row>
      <xdr:rowOff>47625</xdr:rowOff>
    </xdr:from>
    <xdr:to>
      <xdr:col>9</xdr:col>
      <xdr:colOff>285750</xdr:colOff>
      <xdr:row>18</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0.10583</cdr:x>
      <cdr:y>0</cdr:y>
    </cdr:from>
    <cdr:to>
      <cdr:x>0.30163</cdr:x>
      <cdr:y>0.18548</cdr:y>
    </cdr:to>
    <cdr:sp macro="" textlink="">
      <cdr:nvSpPr>
        <cdr:cNvPr id="2" name="TextBox 1"/>
        <cdr:cNvSpPr txBox="1"/>
      </cdr:nvSpPr>
      <cdr:spPr>
        <a:xfrm xmlns:a="http://schemas.openxmlformats.org/drawingml/2006/main">
          <a:off x="381001" y="0"/>
          <a:ext cx="7048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latin typeface="+mn-lt"/>
            </a:rPr>
            <a:t>Over 7 days</a:t>
          </a:r>
        </a:p>
      </cdr:txBody>
    </cdr:sp>
  </cdr:relSizeAnchor>
</c:userShapes>
</file>

<file path=xl/drawings/drawing3.xml><?xml version="1.0" encoding="utf-8"?>
<c:userShapes xmlns:c="http://schemas.openxmlformats.org/drawingml/2006/chart">
  <cdr:relSizeAnchor xmlns:cdr="http://schemas.openxmlformats.org/drawingml/2006/chartDrawing">
    <cdr:from>
      <cdr:x>0.11113</cdr:x>
      <cdr:y>0.07612</cdr:y>
    </cdr:from>
    <cdr:to>
      <cdr:x>0.32808</cdr:x>
      <cdr:y>0.21035</cdr:y>
    </cdr:to>
    <cdr:sp macro="" textlink="">
      <cdr:nvSpPr>
        <cdr:cNvPr id="2" name="TextBox 1"/>
        <cdr:cNvSpPr txBox="1"/>
      </cdr:nvSpPr>
      <cdr:spPr>
        <a:xfrm xmlns:a="http://schemas.openxmlformats.org/drawingml/2006/main">
          <a:off x="444928" y="143882"/>
          <a:ext cx="868598" cy="253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21 days</a:t>
          </a:r>
        </a:p>
      </cdr:txBody>
    </cdr:sp>
  </cdr:relSizeAnchor>
</c:userShapes>
</file>

<file path=xl/drawings/drawing4.xml><?xml version="1.0" encoding="utf-8"?>
<c:userShapes xmlns:c="http://schemas.openxmlformats.org/drawingml/2006/chart">
  <cdr:relSizeAnchor xmlns:cdr="http://schemas.openxmlformats.org/drawingml/2006/chartDrawing">
    <cdr:from>
      <cdr:x>0.10142</cdr:x>
      <cdr:y>0.02552</cdr:y>
    </cdr:from>
    <cdr:to>
      <cdr:x>0.36662</cdr:x>
      <cdr:y>0.15206</cdr:y>
    </cdr:to>
    <cdr:sp macro="" textlink="">
      <cdr:nvSpPr>
        <cdr:cNvPr id="2" name="TextBox 1"/>
        <cdr:cNvSpPr txBox="1"/>
      </cdr:nvSpPr>
      <cdr:spPr>
        <a:xfrm xmlns:a="http://schemas.openxmlformats.org/drawingml/2006/main">
          <a:off x="365125" y="50800"/>
          <a:ext cx="954699" cy="251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closed</a:t>
          </a:r>
          <a:endParaRPr lang="en-GB" sz="800" b="1"/>
        </a:p>
      </cdr:txBody>
    </cdr:sp>
  </cdr:relSizeAnchor>
</c:userShapes>
</file>

<file path=xl/drawings/drawing5.xml><?xml version="1.0" encoding="utf-8"?>
<c:userShapes xmlns:c="http://schemas.openxmlformats.org/drawingml/2006/chart">
  <cdr:relSizeAnchor xmlns:cdr="http://schemas.openxmlformats.org/drawingml/2006/chartDrawing">
    <cdr:from>
      <cdr:x>0.0829</cdr:x>
      <cdr:y>0.03031</cdr:y>
    </cdr:from>
    <cdr:to>
      <cdr:x>0.46831</cdr:x>
      <cdr:y>0.15791</cdr:y>
    </cdr:to>
    <cdr:sp macro="" textlink="">
      <cdr:nvSpPr>
        <cdr:cNvPr id="2" name="TextBox 1"/>
        <cdr:cNvSpPr txBox="1"/>
      </cdr:nvSpPr>
      <cdr:spPr>
        <a:xfrm xmlns:a="http://schemas.openxmlformats.org/drawingml/2006/main">
          <a:off x="298449" y="60325"/>
          <a:ext cx="1387475"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closed unoccupied</a:t>
          </a:r>
          <a:endParaRPr lang="en-GB" sz="800" b="1"/>
        </a:p>
      </cdr:txBody>
    </cdr:sp>
  </cdr:relSizeAnchor>
</c:userShapes>
</file>

<file path=xl/drawings/drawing6.xml><?xml version="1.0" encoding="utf-8"?>
<c:userShapes xmlns:c="http://schemas.openxmlformats.org/drawingml/2006/chart">
  <cdr:relSizeAnchor xmlns:cdr="http://schemas.openxmlformats.org/drawingml/2006/chartDrawing">
    <cdr:from>
      <cdr:x>0.11906</cdr:x>
      <cdr:y>0.02117</cdr:y>
    </cdr:from>
    <cdr:to>
      <cdr:x>0.39952</cdr:x>
      <cdr:y>0.13229</cdr:y>
    </cdr:to>
    <cdr:sp macro="" textlink="">
      <cdr:nvSpPr>
        <cdr:cNvPr id="2" name="TextBox 1"/>
        <cdr:cNvSpPr txBox="1"/>
      </cdr:nvSpPr>
      <cdr:spPr>
        <a:xfrm xmlns:a="http://schemas.openxmlformats.org/drawingml/2006/main">
          <a:off x="428626" y="38100"/>
          <a:ext cx="10096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Ambulance arrivals</a:t>
          </a:r>
        </a:p>
      </cdr:txBody>
    </cdr:sp>
  </cdr:relSizeAnchor>
</c:userShapes>
</file>

<file path=xl/drawings/drawing7.xml><?xml version="1.0" encoding="utf-8"?>
<c:userShapes xmlns:c="http://schemas.openxmlformats.org/drawingml/2006/chart">
  <cdr:relSizeAnchor xmlns:cdr="http://schemas.openxmlformats.org/drawingml/2006/chartDrawing">
    <cdr:from>
      <cdr:x>0.11378</cdr:x>
      <cdr:y>0.03175</cdr:y>
    </cdr:from>
    <cdr:to>
      <cdr:x>0.41805</cdr:x>
      <cdr:y>0.16404</cdr:y>
    </cdr:to>
    <cdr:sp macro="" textlink="">
      <cdr:nvSpPr>
        <cdr:cNvPr id="2" name="TextBox 1"/>
        <cdr:cNvSpPr txBox="1"/>
      </cdr:nvSpPr>
      <cdr:spPr>
        <a:xfrm xmlns:a="http://schemas.openxmlformats.org/drawingml/2006/main">
          <a:off x="409590" y="57153"/>
          <a:ext cx="1095372" cy="238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 delays &gt;60 mins</a:t>
          </a:r>
        </a:p>
      </cdr:txBody>
    </cdr:sp>
  </cdr:relSizeAnchor>
</c:userShapes>
</file>

<file path=xl/drawings/drawing8.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Core beds</a:t>
          </a:r>
        </a:p>
      </cdr:txBody>
    </cdr:sp>
  </cdr:relSizeAnchor>
</c:userShapes>
</file>

<file path=xl/drawings/drawing9.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Escalation beds</a:t>
          </a:r>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Jake Lashbrook Admin" refreshedDate="43895.506956365738" createdVersion="4" refreshedVersion="4" minRefreshableVersion="3" recordCount="0" supportSubquery="1" supportAdvancedDrill="1">
  <cacheSource type="external" connectionId="1"/>
  <cacheFields count="4">
    <cacheField name="[Winter daily sitreps].[Year].[Year]" caption="Year" numFmtId="0" hierarchy="70" level="1">
      <sharedItems containsSemiMixedTypes="0" containsString="0"/>
    </cacheField>
    <cacheField name="[Winter daily sitreps].[Week long].[Week long]" caption="Week long" numFmtId="0" hierarchy="6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59" level="1">
      <sharedItems count="132">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SSEX NHS FOUNDATION TRUST]" c="EAST SUFFOLK AND NORTH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UNIVERSITY TEACHING HOSPITALS NHS TRUST]" c="HULL UNIVERSITY TEACHING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IVERPOOL UNIVERSITY HOSPITALS NHS FOUNDATION TRUST]" c="LIVERPOOL UNIVERSITY HOSPITALS NHS FOUNDATION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INTEGRATED CARE NHS FOUNDATION TRUST]" c="NORTH CUMBRIA INTEGRATED CARE NHS FOUNDATION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SURREY NHS FOUNDATION TRUST]" c="ROYAL SURREY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AND SUNDERLAND NHS FOUNDATION TRUST]" c="SOUTH TYNESIDE AND SUNDERLAND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Amb delays over 60 mins]" caption="Sum of Amb delays over 60 mins" numFmtId="0" hierarchy="76" level="32767"/>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3"/>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Jake Lashbrook Admin" refreshedDate="43895.506986805558" createdVersion="4" refreshedVersion="4" minRefreshableVersion="3" recordCount="0" supportSubquery="1" supportAdvancedDrill="1">
  <cacheSource type="external" connectionId="1"/>
  <cacheFields count="5">
    <cacheField name="[Winter daily sitreps].[Year].[Year]" caption="Year" numFmtId="0" hierarchy="70" level="1">
      <sharedItems containsSemiMixedTypes="0" containsString="0"/>
    </cacheField>
    <cacheField name="[Measures].[Sum of Adult CC beds avail]" caption="Sum of Adult CC beds avail" numFmtId="0" hierarchy="77" level="32767"/>
    <cacheField name="[Measures].[Sum of Adult CC beds occ]" caption="Sum of Adult CC beds occ" numFmtId="0" hierarchy="78" level="32767"/>
    <cacheField name="[Winter daily sitreps].[Week long].[Week long]" caption="Week long" numFmtId="0" hierarchy="6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6" level="1">
      <sharedItems count="7">
        <s v="[Winter daily sitreps].[Region].&amp;[East Of England]" c="East Of England"/>
        <s v="[Winter daily sitreps].[Region].&amp;[London]" c="London"/>
        <s v="[Winter daily sitreps].[Region].&amp;[Midlands]" c="Midlands"/>
        <s v="[Winter daily sitreps].[Region].&amp;[North East and Yorkshire]" c="North East and Yorkshire"/>
        <s v="[Winter daily sitreps].[Region].&amp;[North West Of England]" c="North West Of England"/>
        <s v="[Winter daily sitreps].[Region].&amp;[South East of England]" c="South East of England"/>
        <s v="[Winter daily sitreps].[Region].&amp;[South West of England]" c="South West of England"/>
      </sharedItems>
    </cacheField>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Jake Lashbrook Admin" refreshedDate="43895.506989351852" createdVersion="4" refreshedVersion="4" minRefreshableVersion="3" recordCount="0" supportSubquery="1" supportAdvancedDrill="1">
  <cacheSource type="external" connectionId="1"/>
  <cacheFields count="5">
    <cacheField name="[Winter daily sitreps].[Year].[Year]" caption="Year" numFmtId="0" hierarchy="70" level="1">
      <sharedItems containsSemiMixedTypes="0" containsString="0"/>
    </cacheField>
    <cacheField name="[Measures].[Sum of Adult CC beds avail]" caption="Sum of Adult CC beds avail" numFmtId="0" hierarchy="77" level="32767"/>
    <cacheField name="[Measures].[Sum of Adult CC beds occ]" caption="Sum of Adult CC beds occ" numFmtId="0" hierarchy="78" level="32767"/>
    <cacheField name="[Winter daily sitreps].[Week long].[Week long]" caption="Week long" numFmtId="0" hierarchy="6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6" level="1">
      <sharedItems count="7">
        <s v="[Winter daily sitreps].[Region].&amp;[East Of England]" c="East Of England"/>
        <s v="[Winter daily sitreps].[Region].&amp;[London]" c="London"/>
        <s v="[Winter daily sitreps].[Region].&amp;[Midlands]" c="Midlands"/>
        <s v="[Winter daily sitreps].[Region].&amp;[North East and Yorkshire]" c="North East and Yorkshire"/>
        <s v="[Winter daily sitreps].[Region].&amp;[North West Of England]" c="North West Of England"/>
        <s v="[Winter daily sitreps].[Region].&amp;[South East of England]" c="South East of England"/>
        <s v="[Winter daily sitreps].[Region].&amp;[South West of England]" c="South West of England"/>
      </sharedItems>
    </cacheField>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Jake Lashbrook Admin" refreshedDate="43895.506992013892" createdVersion="4" refreshedVersion="4" minRefreshableVersion="3" recordCount="0" supportSubquery="1" supportAdvancedDrill="1">
  <cacheSource type="external" connectionId="1"/>
  <cacheFields count="5">
    <cacheField name="[Winter daily sitreps].[Year].[Year]" caption="Year" numFmtId="0" hierarchy="70" level="1">
      <sharedItems containsSemiMixedTypes="0" containsString="0"/>
    </cacheField>
    <cacheField name="[Winter daily sitreps].[Week long].[Week long]" caption="Week long" numFmtId="0" hierarchy="6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6" level="1">
      <sharedItems count="7">
        <s v="[Winter daily sitreps].[Region].&amp;[East Of England]" c="East Of England"/>
        <s v="[Winter daily sitreps].[Region].&amp;[London]" c="London"/>
        <s v="[Winter daily sitreps].[Region].&amp;[Midlands]" c="Midlands"/>
        <s v="[Winter daily sitreps].[Region].&amp;[North East and Yorkshire]" c="North East and Yorkshire"/>
        <s v="[Winter daily sitreps].[Region].&amp;[North West Of England]" c="North West Of England"/>
        <s v="[Winter daily sitreps].[Region].&amp;[South East of England]" c="South East of England"/>
        <s v="[Winter daily sitreps].[Region].&amp;[South West of England]" c="South West of England"/>
      </sharedItems>
    </cacheField>
    <cacheField name="[Measures].[Sum of Paed Int Care Avail]" caption="Sum of Paed Int Care Avail" numFmtId="0" hierarchy="79" level="32767"/>
    <cacheField name="[Measures].[Sum of Paed Int Care Occ]" caption="Sum of Paed Int Care Occ" numFmtId="0" hierarchy="80" level="32767"/>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Jake Lashbrook Admin" refreshedDate="43895.506994444448" createdVersion="4" refreshedVersion="4" minRefreshableVersion="3" recordCount="0" supportSubquery="1" supportAdvancedDrill="1">
  <cacheSource type="external" connectionId="1"/>
  <cacheFields count="5">
    <cacheField name="[Winter daily sitreps].[Year].[Year]" caption="Year" numFmtId="0" hierarchy="70" level="1">
      <sharedItems containsSemiMixedTypes="0" containsString="0"/>
    </cacheField>
    <cacheField name="[Winter daily sitreps].[Week long].[Week long]" caption="Week long" numFmtId="0" hierarchy="6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6" level="1">
      <sharedItems count="7">
        <s v="[Winter daily sitreps].[Region].&amp;[East Of England]" c="East Of England"/>
        <s v="[Winter daily sitreps].[Region].&amp;[London]" c="London"/>
        <s v="[Winter daily sitreps].[Region].&amp;[Midlands]" c="Midlands"/>
        <s v="[Winter daily sitreps].[Region].&amp;[North East and Yorkshire]" c="North East and Yorkshire"/>
        <s v="[Winter daily sitreps].[Region].&amp;[North West Of England]" c="North West Of England"/>
        <s v="[Winter daily sitreps].[Region].&amp;[South East of England]" c="South East of England"/>
        <s v="[Winter daily sitreps].[Region].&amp;[South West of England]" c="South West of England"/>
      </sharedItems>
    </cacheField>
    <cacheField name="[Measures].[Sum of Paed Int Care Avail]" caption="Sum of Paed Int Care Avail" numFmtId="0" hierarchy="79" level="32767"/>
    <cacheField name="[Measures].[Sum of Paed Int Care Occ]" caption="Sum of Paed Int Care Occ" numFmtId="0" hierarchy="80" level="32767"/>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Jake Lashbrook Admin" refreshedDate="43895.506997337965" createdVersion="4" refreshedVersion="4" minRefreshableVersion="3" recordCount="0" supportSubquery="1" supportAdvancedDrill="1">
  <cacheSource type="external" connectionId="1"/>
  <cacheFields count="5">
    <cacheField name="[Winter daily sitreps].[Year].[Year]" caption="Year" numFmtId="0" hierarchy="70" level="1">
      <sharedItems containsSemiMixedTypes="0" containsString="0"/>
    </cacheField>
    <cacheField name="[Winter daily sitreps].[Week long].[Week long]" caption="Week long" numFmtId="0" hierarchy="6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6" level="1">
      <sharedItems count="7">
        <s v="[Winter daily sitreps].[Region].&amp;[East Of England]" c="East Of England"/>
        <s v="[Winter daily sitreps].[Region].&amp;[London]" c="London"/>
        <s v="[Winter daily sitreps].[Region].&amp;[Midlands]" c="Midlands"/>
        <s v="[Winter daily sitreps].[Region].&amp;[North East and Yorkshire]" c="North East and Yorkshire"/>
        <s v="[Winter daily sitreps].[Region].&amp;[North West Of England]" c="North West Of England"/>
        <s v="[Winter daily sitreps].[Region].&amp;[South East of England]" c="South East of England"/>
        <s v="[Winter daily sitreps].[Region].&amp;[South West of England]" c="South West of England"/>
      </sharedItems>
    </cacheField>
    <cacheField name="[Measures].[Sum of Neo Int Care Avail]" caption="Sum of Neo Int Care Avail" numFmtId="0" hierarchy="81" level="32767"/>
    <cacheField name="[Measures].[Sum of Neo Int Care occ]" caption="Sum of Neo Int Care occ" numFmtId="0" hierarchy="82" level="32767"/>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Jake Lashbrook Admin" refreshedDate="43895.506999652775" createdVersion="4" refreshedVersion="4" minRefreshableVersion="3" recordCount="0" supportSubquery="1" supportAdvancedDrill="1">
  <cacheSource type="external" connectionId="1"/>
  <cacheFields count="5">
    <cacheField name="[Winter daily sitreps].[Year].[Year]" caption="Year" numFmtId="0" hierarchy="70" level="1">
      <sharedItems containsSemiMixedTypes="0" containsString="0"/>
    </cacheField>
    <cacheField name="[Winter daily sitreps].[Week long].[Week long]" caption="Week long" numFmtId="0" hierarchy="6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6" level="1">
      <sharedItems count="7">
        <s v="[Winter daily sitreps].[Region].&amp;[East Of England]" c="East Of England"/>
        <s v="[Winter daily sitreps].[Region].&amp;[London]" c="London"/>
        <s v="[Winter daily sitreps].[Region].&amp;[Midlands]" c="Midlands"/>
        <s v="[Winter daily sitreps].[Region].&amp;[North East and Yorkshire]" c="North East and Yorkshire"/>
        <s v="[Winter daily sitreps].[Region].&amp;[North West Of England]" c="North West Of England"/>
        <s v="[Winter daily sitreps].[Region].&amp;[South East of England]" c="South East of England"/>
        <s v="[Winter daily sitreps].[Region].&amp;[South West of England]" c="South West of England"/>
      </sharedItems>
    </cacheField>
    <cacheField name="[Measures].[Sum of Neo Int Care Avail]" caption="Sum of Neo Int Care Avail" numFmtId="0" hierarchy="81" level="32767"/>
    <cacheField name="[Measures].[Sum of Neo Int Care occ]" caption="Sum of Neo Int Care occ" numFmtId="0" hierarchy="82" level="32767"/>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Jake Lashbrook Admin" refreshedDate="43895.507002777777" createdVersion="4" refreshedVersion="4" minRefreshableVersion="3" recordCount="0" supportSubquery="1" supportAdvancedDrill="1">
  <cacheSource type="external" connectionId="1"/>
  <cacheFields count="4">
    <cacheField name="[Winter daily sitreps].[Year].[Year]" caption="Year" numFmtId="0" hierarchy="70" level="1">
      <sharedItems containsSemiMixedTypes="0" containsString="0"/>
    </cacheField>
    <cacheField name="[Winter daily sitreps].[Week long].[Week long]" caption="Week long" numFmtId="0" hierarchy="6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Amb arrivals]" caption="Sum of Amb arrivals" numFmtId="0" hierarchy="96" level="32767"/>
    <cacheField name="[Winter daily sitreps].[Region].[Region]" caption="Region" numFmtId="0" hierarchy="66" level="1">
      <sharedItems count="7">
        <s v="[Winter daily sitreps].[Region].&amp;[East Of England]" c="East Of England"/>
        <s v="[Winter daily sitreps].[Region].&amp;[London]" c="London"/>
        <s v="[Winter daily sitreps].[Region].&amp;[Midlands]" c="Midlands"/>
        <s v="[Winter daily sitreps].[Region].&amp;[North East and Yorkshire]" c="North East and Yorkshire"/>
        <s v="[Winter daily sitreps].[Region].&amp;[North West Of England]" c="North West Of England"/>
        <s v="[Winter daily sitreps].[Region].&amp;[South East of England]" c="South East of England"/>
        <s v="[Winter daily sitreps].[Region].&amp;[South West of England]" c="South West of England"/>
      </sharedItems>
    </cacheField>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2"/>
      </fieldsUsage>
    </cacheHierarchy>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Jake Lashbrook Admin" refreshedDate="43895.507006018517" createdVersion="4" refreshedVersion="4" minRefreshableVersion="3" recordCount="0" supportSubquery="1" supportAdvancedDrill="1">
  <cacheSource type="external" connectionId="1"/>
  <cacheFields count="6">
    <cacheField name="[Winter daily sitreps].[Year].[Year]" caption="Year" numFmtId="0" hierarchy="70" level="1">
      <sharedItems containsSemiMixedTypes="0" containsString="0"/>
    </cacheField>
    <cacheField name="[Winter daily sitreps].[Week long].[Week long]" caption="Week long" numFmtId="0" hierarchy="6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6" level="1">
      <sharedItems count="7">
        <s v="[Winter daily sitreps].[Region].&amp;[East Of England]" c="East Of England"/>
        <s v="[Winter daily sitreps].[Region].&amp;[London]" c="London"/>
        <s v="[Winter daily sitreps].[Region].&amp;[Midlands]" c="Midlands"/>
        <s v="[Winter daily sitreps].[Region].&amp;[North East and Yorkshire]" c="North East and Yorkshire"/>
        <s v="[Winter daily sitreps].[Region].&amp;[North West Of England]" c="North West Of England"/>
        <s v="[Winter daily sitreps].[Region].&amp;[South East of England]" c="South East of England"/>
        <s v="[Winter daily sitreps].[Region].&amp;[South West of England]" c="South West of England"/>
      </sharedItems>
    </cacheField>
    <cacheField name="[Measures].[Sum of Amb delays 30-60 mins]" caption="Sum of Amb delays 30-60 mins" numFmtId="0" hierarchy="97" level="32767"/>
    <cacheField name="[Measures].[Sum of Amb delays over 60 mins]" caption="Sum of Amb delays over 60 mins" numFmtId="0" hierarchy="76" level="32767"/>
    <cacheField name="[Measures].[Sum of Amb arrivals]" caption="Sum of Amb arrivals" numFmtId="0" hierarchy="96" level="32767"/>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4"/>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5"/>
      </fieldsUsage>
    </cacheHierarchy>
    <cacheHierarchy uniqueName="[Measures].[Sum of Amb delays 30-60 mins]" caption="Sum of Amb delays 30-60 mins" measure="1" displayFolder="" measureGroup="Winter daily sitreps" count="0" oneField="1" hidden="1">
      <fieldsUsage count="1">
        <fieldUsage x="3"/>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Jake Lashbrook Admin" refreshedDate="43895.507008449073" createdVersion="4" refreshedVersion="4" minRefreshableVersion="3" recordCount="0" supportSubquery="1" supportAdvancedDrill="1">
  <cacheSource type="external" connectionId="1"/>
  <cacheFields count="3">
    <cacheField name="[Measures].[Sum of AE diverts]" caption="Sum of AE diverts" numFmtId="0" hierarchy="71" level="32767"/>
    <cacheField name="[Winter daily sitreps].[Week].[Week]" caption="Week" numFmtId="0" hierarchy="67" level="1">
      <sharedItems count="13">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haredItems>
    </cacheField>
    <cacheField name="[Winter daily sitreps].[Year].[Year]" caption="Year" numFmtId="0" hierarchy="70" level="1">
      <sharedItems containsSemiMixedTypes="0" containsString="0"/>
    </cacheField>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2"/>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Jake Lashbrook Admin" refreshedDate="43895.507010995374" createdVersion="4" refreshedVersion="4" minRefreshableVersion="3" recordCount="0" supportSubquery="1" supportAdvancedDrill="1">
  <cacheSource type="external" connectionId="1"/>
  <cacheFields count="3">
    <cacheField name="[Measures].[Sum of AE diverts]" caption="Sum of AE diverts" numFmtId="0" hierarchy="71" level="32767"/>
    <cacheField name="[Winter daily sitreps].[Year].[Year]" caption="Year" numFmtId="0" hierarchy="70" level="1">
      <sharedItems containsSemiMixedTypes="0" containsString="0"/>
    </cacheField>
    <cacheField name="[Winter daily sitreps].[Date].[Date]" caption="Date" numFmtId="0" hierarchy="49" level="1">
      <sharedItems count="91">
        <s v="[Winter daily sitreps].[Date].&amp;[2019-12-02T00:00:00]" c="02/12/19"/>
        <s v="[Winter daily sitreps].[Date].&amp;[2019-12-03T00:00:00]" c="03/12/19"/>
        <s v="[Winter daily sitreps].[Date].&amp;[2019-12-04T00:00:00]" c="04/12/19"/>
        <s v="[Winter daily sitreps].[Date].&amp;[2019-12-05T00:00:00]" c="05/12/19"/>
        <s v="[Winter daily sitreps].[Date].&amp;[2019-12-06T00:00:00]" c="06/12/19"/>
        <s v="[Winter daily sitreps].[Date].&amp;[2019-12-07T00:00:00]" c="07/12/19"/>
        <s v="[Winter daily sitreps].[Date].&amp;[2019-12-08T00:00:00]" c="08/12/19"/>
        <s v="[Winter daily sitreps].[Date].&amp;[2019-12-09T00:00:00]" c="09/12/19"/>
        <s v="[Winter daily sitreps].[Date].&amp;[2019-12-10T00:00:00]" c="10/12/19"/>
        <s v="[Winter daily sitreps].[Date].&amp;[2019-12-11T00:00:00]" c="11/12/19"/>
        <s v="[Winter daily sitreps].[Date].&amp;[2019-12-12T00:00:00]" c="12/12/19"/>
        <s v="[Winter daily sitreps].[Date].&amp;[2019-12-13T00:00:00]" c="13/12/19"/>
        <s v="[Winter daily sitreps].[Date].&amp;[2019-12-14T00:00:00]" c="14/12/19"/>
        <s v="[Winter daily sitreps].[Date].&amp;[2019-12-15T00:00:00]" c="15/12/19"/>
        <s v="[Winter daily sitreps].[Date].&amp;[2019-12-16T00:00:00]" c="16/12/19"/>
        <s v="[Winter daily sitreps].[Date].&amp;[2019-12-17T00:00:00]" c="17/12/19"/>
        <s v="[Winter daily sitreps].[Date].&amp;[2019-12-18T00:00:00]" c="18/12/19"/>
        <s v="[Winter daily sitreps].[Date].&amp;[2019-12-19T00:00:00]" c="19/12/19"/>
        <s v="[Winter daily sitreps].[Date].&amp;[2019-12-20T00:00:00]" c="20/12/19"/>
        <s v="[Winter daily sitreps].[Date].&amp;[2019-12-21T00:00:00]" c="21/12/19"/>
        <s v="[Winter daily sitreps].[Date].&amp;[2019-12-22T00:00:00]" c="22/12/19"/>
        <s v="[Winter daily sitreps].[Date].&amp;[2019-12-23T00:00:00]" c="23/12/19"/>
        <s v="[Winter daily sitreps].[Date].&amp;[2019-12-24T00:00:00]" c="24/12/19"/>
        <s v="[Winter daily sitreps].[Date].&amp;[2019-12-25T00:00:00]" c="25/12/19"/>
        <s v="[Winter daily sitreps].[Date].&amp;[2019-12-26T00:00:00]" c="26/12/19"/>
        <s v="[Winter daily sitreps].[Date].&amp;[2019-12-27T00:00:00]" c="27/12/19"/>
        <s v="[Winter daily sitreps].[Date].&amp;[2019-12-28T00:00:00]" c="28/12/19"/>
        <s v="[Winter daily sitreps].[Date].&amp;[2019-12-29T00:00:00]" c="29/12/19"/>
        <s v="[Winter daily sitreps].[Date].&amp;[2019-12-30T00:00:00]" c="30/12/19"/>
        <s v="[Winter daily sitreps].[Date].&amp;[2019-12-31T00:00:00]" c="31/12/19"/>
        <s v="[Winter daily sitreps].[Date].&amp;[2020-01-01T00:00:00]" c="01/01/20"/>
        <s v="[Winter daily sitreps].[Date].&amp;[2020-01-02T00:00:00]" c="02/01/20"/>
        <s v="[Winter daily sitreps].[Date].&amp;[2020-01-03T00:00:00]" c="03/01/20"/>
        <s v="[Winter daily sitreps].[Date].&amp;[2020-01-04T00:00:00]" c="04/01/20"/>
        <s v="[Winter daily sitreps].[Date].&amp;[2020-01-05T00:00:00]" c="05/01/20"/>
        <s v="[Winter daily sitreps].[Date].&amp;[2020-01-06T00:00:00]" c="06/01/20"/>
        <s v="[Winter daily sitreps].[Date].&amp;[2020-01-07T00:00:00]" c="07/01/20"/>
        <s v="[Winter daily sitreps].[Date].&amp;[2020-01-08T00:00:00]" c="08/01/20"/>
        <s v="[Winter daily sitreps].[Date].&amp;[2020-01-09T00:00:00]" c="09/01/20"/>
        <s v="[Winter daily sitreps].[Date].&amp;[2020-01-10T00:00:00]" c="10/01/20"/>
        <s v="[Winter daily sitreps].[Date].&amp;[2020-01-11T00:00:00]" c="11/01/20"/>
        <s v="[Winter daily sitreps].[Date].&amp;[2020-01-12T00:00:00]" c="12/01/20"/>
        <s v="[Winter daily sitreps].[Date].&amp;[2020-01-13T00:00:00]" c="13/01/20"/>
        <s v="[Winter daily sitreps].[Date].&amp;[2020-01-14T00:00:00]" c="14/01/20"/>
        <s v="[Winter daily sitreps].[Date].&amp;[2020-01-15T00:00:00]" c="15/01/20"/>
        <s v="[Winter daily sitreps].[Date].&amp;[2020-01-16T00:00:00]" c="16/01/20"/>
        <s v="[Winter daily sitreps].[Date].&amp;[2020-01-17T00:00:00]" c="17/01/20"/>
        <s v="[Winter daily sitreps].[Date].&amp;[2020-01-18T00:00:00]" c="18/01/20"/>
        <s v="[Winter daily sitreps].[Date].&amp;[2020-01-19T00:00:00]" c="19/01/20"/>
        <s v="[Winter daily sitreps].[Date].&amp;[2020-01-20T00:00:00]" c="20/01/20"/>
        <s v="[Winter daily sitreps].[Date].&amp;[2020-01-21T00:00:00]" c="21/01/20"/>
        <s v="[Winter daily sitreps].[Date].&amp;[2020-01-22T00:00:00]" c="22/01/20"/>
        <s v="[Winter daily sitreps].[Date].&amp;[2020-01-23T00:00:00]" c="23/01/20"/>
        <s v="[Winter daily sitreps].[Date].&amp;[2020-01-24T00:00:00]" c="24/01/20"/>
        <s v="[Winter daily sitreps].[Date].&amp;[2020-01-25T00:00:00]" c="25/01/20"/>
        <s v="[Winter daily sitreps].[Date].&amp;[2020-01-26T00:00:00]" c="26/01/20"/>
        <s v="[Winter daily sitreps].[Date].&amp;[2020-01-27T00:00:00]" c="27/01/20"/>
        <s v="[Winter daily sitreps].[Date].&amp;[2020-01-28T00:00:00]" c="28/01/20"/>
        <s v="[Winter daily sitreps].[Date].&amp;[2020-01-29T00:00:00]" c="29/01/20"/>
        <s v="[Winter daily sitreps].[Date].&amp;[2020-01-30T00:00:00]" c="30/01/20"/>
        <s v="[Winter daily sitreps].[Date].&amp;[2020-01-31T00:00:00]" c="31/01/20"/>
        <s v="[Winter daily sitreps].[Date].&amp;[2020-02-01T00:00:00]" c="01/02/20"/>
        <s v="[Winter daily sitreps].[Date].&amp;[2020-02-02T00:00:00]" c="02/02/20"/>
        <s v="[Winter daily sitreps].[Date].&amp;[2020-02-03T00:00:00]" c="03/02/20"/>
        <s v="[Winter daily sitreps].[Date].&amp;[2020-02-04T00:00:00]" c="04/02/20"/>
        <s v="[Winter daily sitreps].[Date].&amp;[2020-02-05T00:00:00]" c="05/02/20"/>
        <s v="[Winter daily sitreps].[Date].&amp;[2020-02-06T00:00:00]" c="06/02/20"/>
        <s v="[Winter daily sitreps].[Date].&amp;[2020-02-07T00:00:00]" c="07/02/20"/>
        <s v="[Winter daily sitreps].[Date].&amp;[2020-02-08T00:00:00]" c="08/02/20"/>
        <s v="[Winter daily sitreps].[Date].&amp;[2020-02-09T00:00:00]" c="09/02/20"/>
        <s v="[Winter daily sitreps].[Date].&amp;[2020-02-10T00:00:00]" c="10/02/20"/>
        <s v="[Winter daily sitreps].[Date].&amp;[2020-02-11T00:00:00]" c="11/02/20"/>
        <s v="[Winter daily sitreps].[Date].&amp;[2020-02-12T00:00:00]" c="12/02/20"/>
        <s v="[Winter daily sitreps].[Date].&amp;[2020-02-13T00:00:00]" c="13/02/20"/>
        <s v="[Winter daily sitreps].[Date].&amp;[2020-02-14T00:00:00]" c="14/02/20"/>
        <s v="[Winter daily sitreps].[Date].&amp;[2020-02-15T00:00:00]" c="15/02/20"/>
        <s v="[Winter daily sitreps].[Date].&amp;[2020-02-16T00:00:00]" c="16/02/20"/>
        <s v="[Winter daily sitreps].[Date].&amp;[2020-02-17T00:00:00]" c="17/02/20"/>
        <s v="[Winter daily sitreps].[Date].&amp;[2020-02-18T00:00:00]" c="18/02/20"/>
        <s v="[Winter daily sitreps].[Date].&amp;[2020-02-19T00:00:00]" c="19/02/20"/>
        <s v="[Winter daily sitreps].[Date].&amp;[2020-02-20T00:00:00]" c="20/02/20"/>
        <s v="[Winter daily sitreps].[Date].&amp;[2020-02-21T00:00:00]" c="21/02/20"/>
        <s v="[Winter daily sitreps].[Date].&amp;[2020-02-22T00:00:00]" c="22/02/20"/>
        <s v="[Winter daily sitreps].[Date].&amp;[2020-02-23T00:00:00]" c="23/02/20"/>
        <s v="[Winter daily sitreps].[Date].&amp;[2020-02-24T00:00:00]" c="24/02/20"/>
        <s v="[Winter daily sitreps].[Date].&amp;[2020-02-25T00:00:00]" c="25/02/20"/>
        <s v="[Winter daily sitreps].[Date].&amp;[2020-02-26T00:00:00]" c="26/02/20"/>
        <s v="[Winter daily sitreps].[Date].&amp;[2020-02-27T00:00:00]" c="27/02/20"/>
        <s v="[Winter daily sitreps].[Date].&amp;[2020-02-28T00:00:00]" c="28/02/20"/>
        <s v="[Winter daily sitreps].[Date].&amp;[2020-02-29T00:00:00]" c="29/02/20"/>
        <s v="[Winter daily sitreps].[Date].&amp;[2020-03-01T00:00:00]" c="01/03/20"/>
      </sharedItems>
    </cacheField>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Jake Lashbrook Admin" refreshedDate="43895.506959722225" createdVersion="4" refreshedVersion="4" minRefreshableVersion="3" recordCount="0" supportSubquery="1" supportAdvancedDrill="1">
  <cacheSource type="external" connectionId="1"/>
  <cacheFields count="4">
    <cacheField name="[Winter daily sitreps].[Year].[Year]" caption="Year" numFmtId="0" hierarchy="70" level="1">
      <sharedItems containsSemiMixedTypes="0" containsString="0"/>
    </cacheField>
    <cacheField name="[Winter daily sitreps].[Week long].[Week long]" caption="Week long" numFmtId="0" hierarchy="6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6" level="1">
      <sharedItems count="7">
        <s v="[Winter daily sitreps].[Region].&amp;[East Of England]" c="East Of England"/>
        <s v="[Winter daily sitreps].[Region].&amp;[London]" c="London"/>
        <s v="[Winter daily sitreps].[Region].&amp;[Midlands]" c="Midlands"/>
        <s v="[Winter daily sitreps].[Region].&amp;[North East and Yorkshire]" c="North East and Yorkshire"/>
        <s v="[Winter daily sitreps].[Region].&amp;[North West Of England]" c="North West Of England"/>
        <s v="[Winter daily sitreps].[Region].&amp;[South East of England]" c="South East of England"/>
        <s v="[Winter daily sitreps].[Region].&amp;[South West of England]" c="South West of England"/>
      </sharedItems>
    </cacheField>
    <cacheField name="[Measures].[Sum of Beds closed norovius unocc]" caption="Sum of Beds closed norovius unocc" numFmtId="0" hierarchy="75" level="32767"/>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Jake Lashbrook Admin" refreshedDate="43895.507013425929" createdVersion="4" refreshedVersion="4" minRefreshableVersion="3" recordCount="0" supportSubquery="1" supportAdvancedDrill="1">
  <cacheSource type="external" connectionId="1"/>
  <cacheFields count="3">
    <cacheField name="[Measures].[Sum of AE diverts]" caption="Sum of AE diverts" numFmtId="0" hierarchy="71" level="32767"/>
    <cacheField name="[Winter daily sitreps].[Year].[Year]" caption="Year" numFmtId="0" hierarchy="70" level="1">
      <sharedItems containsSemiMixedTypes="0" containsString="0"/>
    </cacheField>
    <cacheField name="[Winter daily sitreps].[Date].[Date]" caption="Date" numFmtId="0" hierarchy="49" level="1">
      <sharedItems count="91">
        <s v="[Winter daily sitreps].[Date].&amp;[2019-12-02T00:00:00]" c="02/12/19"/>
        <s v="[Winter daily sitreps].[Date].&amp;[2019-12-03T00:00:00]" c="03/12/19"/>
        <s v="[Winter daily sitreps].[Date].&amp;[2019-12-04T00:00:00]" c="04/12/19"/>
        <s v="[Winter daily sitreps].[Date].&amp;[2019-12-05T00:00:00]" c="05/12/19"/>
        <s v="[Winter daily sitreps].[Date].&amp;[2019-12-06T00:00:00]" c="06/12/19"/>
        <s v="[Winter daily sitreps].[Date].&amp;[2019-12-07T00:00:00]" c="07/12/19"/>
        <s v="[Winter daily sitreps].[Date].&amp;[2019-12-08T00:00:00]" c="08/12/19"/>
        <s v="[Winter daily sitreps].[Date].&amp;[2019-12-09T00:00:00]" c="09/12/19"/>
        <s v="[Winter daily sitreps].[Date].&amp;[2019-12-10T00:00:00]" c="10/12/19"/>
        <s v="[Winter daily sitreps].[Date].&amp;[2019-12-11T00:00:00]" c="11/12/19"/>
        <s v="[Winter daily sitreps].[Date].&amp;[2019-12-12T00:00:00]" c="12/12/19"/>
        <s v="[Winter daily sitreps].[Date].&amp;[2019-12-13T00:00:00]" c="13/12/19"/>
        <s v="[Winter daily sitreps].[Date].&amp;[2019-12-14T00:00:00]" c="14/12/19"/>
        <s v="[Winter daily sitreps].[Date].&amp;[2019-12-15T00:00:00]" c="15/12/19"/>
        <s v="[Winter daily sitreps].[Date].&amp;[2019-12-16T00:00:00]" c="16/12/19"/>
        <s v="[Winter daily sitreps].[Date].&amp;[2019-12-17T00:00:00]" c="17/12/19"/>
        <s v="[Winter daily sitreps].[Date].&amp;[2019-12-18T00:00:00]" c="18/12/19"/>
        <s v="[Winter daily sitreps].[Date].&amp;[2019-12-19T00:00:00]" c="19/12/19"/>
        <s v="[Winter daily sitreps].[Date].&amp;[2019-12-20T00:00:00]" c="20/12/19"/>
        <s v="[Winter daily sitreps].[Date].&amp;[2019-12-21T00:00:00]" c="21/12/19"/>
        <s v="[Winter daily sitreps].[Date].&amp;[2019-12-22T00:00:00]" c="22/12/19"/>
        <s v="[Winter daily sitreps].[Date].&amp;[2019-12-23T00:00:00]" c="23/12/19"/>
        <s v="[Winter daily sitreps].[Date].&amp;[2019-12-24T00:00:00]" c="24/12/19"/>
        <s v="[Winter daily sitreps].[Date].&amp;[2019-12-25T00:00:00]" c="25/12/19"/>
        <s v="[Winter daily sitreps].[Date].&amp;[2019-12-26T00:00:00]" c="26/12/19"/>
        <s v="[Winter daily sitreps].[Date].&amp;[2019-12-27T00:00:00]" c="27/12/19"/>
        <s v="[Winter daily sitreps].[Date].&amp;[2019-12-28T00:00:00]" c="28/12/19"/>
        <s v="[Winter daily sitreps].[Date].&amp;[2019-12-29T00:00:00]" c="29/12/19"/>
        <s v="[Winter daily sitreps].[Date].&amp;[2019-12-30T00:00:00]" c="30/12/19"/>
        <s v="[Winter daily sitreps].[Date].&amp;[2019-12-31T00:00:00]" c="31/12/19"/>
        <s v="[Winter daily sitreps].[Date].&amp;[2020-01-01T00:00:00]" c="01/01/20"/>
        <s v="[Winter daily sitreps].[Date].&amp;[2020-01-02T00:00:00]" c="02/01/20"/>
        <s v="[Winter daily sitreps].[Date].&amp;[2020-01-03T00:00:00]" c="03/01/20"/>
        <s v="[Winter daily sitreps].[Date].&amp;[2020-01-04T00:00:00]" c="04/01/20"/>
        <s v="[Winter daily sitreps].[Date].&amp;[2020-01-05T00:00:00]" c="05/01/20"/>
        <s v="[Winter daily sitreps].[Date].&amp;[2020-01-06T00:00:00]" c="06/01/20"/>
        <s v="[Winter daily sitreps].[Date].&amp;[2020-01-07T00:00:00]" c="07/01/20"/>
        <s v="[Winter daily sitreps].[Date].&amp;[2020-01-08T00:00:00]" c="08/01/20"/>
        <s v="[Winter daily sitreps].[Date].&amp;[2020-01-09T00:00:00]" c="09/01/20"/>
        <s v="[Winter daily sitreps].[Date].&amp;[2020-01-10T00:00:00]" c="10/01/20"/>
        <s v="[Winter daily sitreps].[Date].&amp;[2020-01-11T00:00:00]" c="11/01/20"/>
        <s v="[Winter daily sitreps].[Date].&amp;[2020-01-12T00:00:00]" c="12/01/20"/>
        <s v="[Winter daily sitreps].[Date].&amp;[2020-01-13T00:00:00]" c="13/01/20"/>
        <s v="[Winter daily sitreps].[Date].&amp;[2020-01-14T00:00:00]" c="14/01/20"/>
        <s v="[Winter daily sitreps].[Date].&amp;[2020-01-15T00:00:00]" c="15/01/20"/>
        <s v="[Winter daily sitreps].[Date].&amp;[2020-01-16T00:00:00]" c="16/01/20"/>
        <s v="[Winter daily sitreps].[Date].&amp;[2020-01-17T00:00:00]" c="17/01/20"/>
        <s v="[Winter daily sitreps].[Date].&amp;[2020-01-18T00:00:00]" c="18/01/20"/>
        <s v="[Winter daily sitreps].[Date].&amp;[2020-01-19T00:00:00]" c="19/01/20"/>
        <s v="[Winter daily sitreps].[Date].&amp;[2020-01-20T00:00:00]" c="20/01/20"/>
        <s v="[Winter daily sitreps].[Date].&amp;[2020-01-21T00:00:00]" c="21/01/20"/>
        <s v="[Winter daily sitreps].[Date].&amp;[2020-01-22T00:00:00]" c="22/01/20"/>
        <s v="[Winter daily sitreps].[Date].&amp;[2020-01-23T00:00:00]" c="23/01/20"/>
        <s v="[Winter daily sitreps].[Date].&amp;[2020-01-24T00:00:00]" c="24/01/20"/>
        <s v="[Winter daily sitreps].[Date].&amp;[2020-01-25T00:00:00]" c="25/01/20"/>
        <s v="[Winter daily sitreps].[Date].&amp;[2020-01-26T00:00:00]" c="26/01/20"/>
        <s v="[Winter daily sitreps].[Date].&amp;[2020-01-27T00:00:00]" c="27/01/20"/>
        <s v="[Winter daily sitreps].[Date].&amp;[2020-01-28T00:00:00]" c="28/01/20"/>
        <s v="[Winter daily sitreps].[Date].&amp;[2020-01-29T00:00:00]" c="29/01/20"/>
        <s v="[Winter daily sitreps].[Date].&amp;[2020-01-30T00:00:00]" c="30/01/20"/>
        <s v="[Winter daily sitreps].[Date].&amp;[2020-01-31T00:00:00]" c="31/01/20"/>
        <s v="[Winter daily sitreps].[Date].&amp;[2020-02-01T00:00:00]" c="01/02/20"/>
        <s v="[Winter daily sitreps].[Date].&amp;[2020-02-02T00:00:00]" c="02/02/20"/>
        <s v="[Winter daily sitreps].[Date].&amp;[2020-02-03T00:00:00]" c="03/02/20"/>
        <s v="[Winter daily sitreps].[Date].&amp;[2020-02-04T00:00:00]" c="04/02/20"/>
        <s v="[Winter daily sitreps].[Date].&amp;[2020-02-05T00:00:00]" c="05/02/20"/>
        <s v="[Winter daily sitreps].[Date].&amp;[2020-02-06T00:00:00]" c="06/02/20"/>
        <s v="[Winter daily sitreps].[Date].&amp;[2020-02-07T00:00:00]" c="07/02/20"/>
        <s v="[Winter daily sitreps].[Date].&amp;[2020-02-08T00:00:00]" c="08/02/20"/>
        <s v="[Winter daily sitreps].[Date].&amp;[2020-02-09T00:00:00]" c="09/02/20"/>
        <s v="[Winter daily sitreps].[Date].&amp;[2020-02-10T00:00:00]" c="10/02/20"/>
        <s v="[Winter daily sitreps].[Date].&amp;[2020-02-11T00:00:00]" c="11/02/20"/>
        <s v="[Winter daily sitreps].[Date].&amp;[2020-02-12T00:00:00]" c="12/02/20"/>
        <s v="[Winter daily sitreps].[Date].&amp;[2020-02-13T00:00:00]" c="13/02/20"/>
        <s v="[Winter daily sitreps].[Date].&amp;[2020-02-14T00:00:00]" c="14/02/20"/>
        <s v="[Winter daily sitreps].[Date].&amp;[2020-02-15T00:00:00]" c="15/02/20"/>
        <s v="[Winter daily sitreps].[Date].&amp;[2020-02-16T00:00:00]" c="16/02/20"/>
        <s v="[Winter daily sitreps].[Date].&amp;[2020-02-17T00:00:00]" c="17/02/20"/>
        <s v="[Winter daily sitreps].[Date].&amp;[2020-02-18T00:00:00]" c="18/02/20"/>
        <s v="[Winter daily sitreps].[Date].&amp;[2020-02-19T00:00:00]" c="19/02/20"/>
        <s v="[Winter daily sitreps].[Date].&amp;[2020-02-20T00:00:00]" c="20/02/20"/>
        <s v="[Winter daily sitreps].[Date].&amp;[2020-02-21T00:00:00]" c="21/02/20"/>
        <s v="[Winter daily sitreps].[Date].&amp;[2020-02-22T00:00:00]" c="22/02/20"/>
        <s v="[Winter daily sitreps].[Date].&amp;[2020-02-23T00:00:00]" c="23/02/20"/>
        <s v="[Winter daily sitreps].[Date].&amp;[2020-02-24T00:00:00]" c="24/02/20"/>
        <s v="[Winter daily sitreps].[Date].&amp;[2020-02-25T00:00:00]" c="25/02/20"/>
        <s v="[Winter daily sitreps].[Date].&amp;[2020-02-26T00:00:00]" c="26/02/20"/>
        <s v="[Winter daily sitreps].[Date].&amp;[2020-02-27T00:00:00]" c="27/02/20"/>
        <s v="[Winter daily sitreps].[Date].&amp;[2020-02-28T00:00:00]" c="28/02/20"/>
        <s v="[Winter daily sitreps].[Date].&amp;[2020-02-29T00:00:00]" c="29/02/20"/>
        <s v="[Winter daily sitreps].[Date].&amp;[2020-03-01T00:00:00]" c="01/03/20"/>
      </sharedItems>
    </cacheField>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Jake Lashbrook Admin" refreshedDate="43895.507016087962" createdVersion="4" refreshedVersion="4" minRefreshableVersion="3" recordCount="0" supportSubquery="1" supportAdvancedDrill="1">
  <cacheSource type="external" connectionId="1"/>
  <cacheFields count="5">
    <cacheField name="[Winter daily sitreps].[Year].[Year]" caption="Year" numFmtId="0" hierarchy="70" level="1">
      <sharedItems containsSemiMixedTypes="0" containsString="0"/>
    </cacheField>
    <cacheField name="[Winter daily sitreps].[Week].[Week]" caption="Week" numFmtId="0" hierarchy="67" level="1">
      <sharedItems count="13">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haredItems>
    </cacheField>
    <cacheField name="[Measures].[Sum of GA core beds avail]" caption="Sum of GA core beds avail" numFmtId="0" hierarchy="84" level="32767"/>
    <cacheField name="[Measures].[Sum of GA escalation beds avail]" caption="Sum of GA escalation beds avail" numFmtId="0" hierarchy="85" level="32767"/>
    <cacheField name="[Measures].[Sum of GA total beds avail]" caption="Sum of GA total beds avail" numFmtId="0" hierarchy="72" level="32767"/>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2"/>
      </fieldsUsage>
    </cacheHierarchy>
    <cacheHierarchy uniqueName="[Measures].[Sum of GA escalation beds avail]" caption="Sum of GA escalation beds avail" measure="1" displayFolder="" measureGroup="Winter daily sitreps" count="0" oneField="1">
      <fieldsUsage count="1">
        <fieldUsage x="3"/>
      </fieldsUsage>
    </cacheHierarchy>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Jake Lashbrook Admin" refreshedDate="43895.507018518518" createdVersion="4" refreshedVersion="4" minRefreshableVersion="3" recordCount="0" supportSubquery="1" supportAdvancedDrill="1">
  <cacheSource type="external" connectionId="1"/>
  <cacheFields count="5">
    <cacheField name="[Winter daily sitreps].[Year].[Year]" caption="Year" numFmtId="0" hierarchy="70" level="1">
      <sharedItems containsSemiMixedTypes="0" containsString="0"/>
    </cacheField>
    <cacheField name="[Measures].[Sum of GA core beds avail]" caption="Sum of GA core beds avail" numFmtId="0" hierarchy="84" level="32767"/>
    <cacheField name="[Measures].[Sum of GA escalation beds avail]" caption="Sum of GA escalation beds avail" numFmtId="0" hierarchy="85" level="32767"/>
    <cacheField name="[Measures].[Sum of GA total beds avail]" caption="Sum of GA total beds avail" numFmtId="0" hierarchy="72" level="32767"/>
    <cacheField name="[Winter daily sitreps].[Date].[Date]" caption="Date" numFmtId="0" hierarchy="49" level="1">
      <sharedItems count="91">
        <s v="[Winter daily sitreps].[Date].&amp;[2019-12-02T00:00:00]" c="02/12/19"/>
        <s v="[Winter daily sitreps].[Date].&amp;[2019-12-03T00:00:00]" c="03/12/19"/>
        <s v="[Winter daily sitreps].[Date].&amp;[2019-12-04T00:00:00]" c="04/12/19"/>
        <s v="[Winter daily sitreps].[Date].&amp;[2019-12-05T00:00:00]" c="05/12/19"/>
        <s v="[Winter daily sitreps].[Date].&amp;[2019-12-06T00:00:00]" c="06/12/19"/>
        <s v="[Winter daily sitreps].[Date].&amp;[2019-12-07T00:00:00]" c="07/12/19"/>
        <s v="[Winter daily sitreps].[Date].&amp;[2019-12-08T00:00:00]" c="08/12/19"/>
        <s v="[Winter daily sitreps].[Date].&amp;[2019-12-09T00:00:00]" c="09/12/19"/>
        <s v="[Winter daily sitreps].[Date].&amp;[2019-12-10T00:00:00]" c="10/12/19"/>
        <s v="[Winter daily sitreps].[Date].&amp;[2019-12-11T00:00:00]" c="11/12/19"/>
        <s v="[Winter daily sitreps].[Date].&amp;[2019-12-12T00:00:00]" c="12/12/19"/>
        <s v="[Winter daily sitreps].[Date].&amp;[2019-12-13T00:00:00]" c="13/12/19"/>
        <s v="[Winter daily sitreps].[Date].&amp;[2019-12-14T00:00:00]" c="14/12/19"/>
        <s v="[Winter daily sitreps].[Date].&amp;[2019-12-15T00:00:00]" c="15/12/19"/>
        <s v="[Winter daily sitreps].[Date].&amp;[2019-12-16T00:00:00]" c="16/12/19"/>
        <s v="[Winter daily sitreps].[Date].&amp;[2019-12-17T00:00:00]" c="17/12/19"/>
        <s v="[Winter daily sitreps].[Date].&amp;[2019-12-18T00:00:00]" c="18/12/19"/>
        <s v="[Winter daily sitreps].[Date].&amp;[2019-12-19T00:00:00]" c="19/12/19"/>
        <s v="[Winter daily sitreps].[Date].&amp;[2019-12-20T00:00:00]" c="20/12/19"/>
        <s v="[Winter daily sitreps].[Date].&amp;[2019-12-21T00:00:00]" c="21/12/19"/>
        <s v="[Winter daily sitreps].[Date].&amp;[2019-12-22T00:00:00]" c="22/12/19"/>
        <s v="[Winter daily sitreps].[Date].&amp;[2019-12-23T00:00:00]" c="23/12/19"/>
        <s v="[Winter daily sitreps].[Date].&amp;[2019-12-24T00:00:00]" c="24/12/19"/>
        <s v="[Winter daily sitreps].[Date].&amp;[2019-12-25T00:00:00]" c="25/12/19"/>
        <s v="[Winter daily sitreps].[Date].&amp;[2019-12-26T00:00:00]" c="26/12/19"/>
        <s v="[Winter daily sitreps].[Date].&amp;[2019-12-27T00:00:00]" c="27/12/19"/>
        <s v="[Winter daily sitreps].[Date].&amp;[2019-12-28T00:00:00]" c="28/12/19"/>
        <s v="[Winter daily sitreps].[Date].&amp;[2019-12-29T00:00:00]" c="29/12/19"/>
        <s v="[Winter daily sitreps].[Date].&amp;[2019-12-30T00:00:00]" c="30/12/19"/>
        <s v="[Winter daily sitreps].[Date].&amp;[2019-12-31T00:00:00]" c="31/12/19"/>
        <s v="[Winter daily sitreps].[Date].&amp;[2020-01-01T00:00:00]" c="01/01/20"/>
        <s v="[Winter daily sitreps].[Date].&amp;[2020-01-02T00:00:00]" c="02/01/20"/>
        <s v="[Winter daily sitreps].[Date].&amp;[2020-01-03T00:00:00]" c="03/01/20"/>
        <s v="[Winter daily sitreps].[Date].&amp;[2020-01-04T00:00:00]" c="04/01/20"/>
        <s v="[Winter daily sitreps].[Date].&amp;[2020-01-05T00:00:00]" c="05/01/20"/>
        <s v="[Winter daily sitreps].[Date].&amp;[2020-01-06T00:00:00]" c="06/01/20"/>
        <s v="[Winter daily sitreps].[Date].&amp;[2020-01-07T00:00:00]" c="07/01/20"/>
        <s v="[Winter daily sitreps].[Date].&amp;[2020-01-08T00:00:00]" c="08/01/20"/>
        <s v="[Winter daily sitreps].[Date].&amp;[2020-01-09T00:00:00]" c="09/01/20"/>
        <s v="[Winter daily sitreps].[Date].&amp;[2020-01-10T00:00:00]" c="10/01/20"/>
        <s v="[Winter daily sitreps].[Date].&amp;[2020-01-11T00:00:00]" c="11/01/20"/>
        <s v="[Winter daily sitreps].[Date].&amp;[2020-01-12T00:00:00]" c="12/01/20"/>
        <s v="[Winter daily sitreps].[Date].&amp;[2020-01-13T00:00:00]" c="13/01/20"/>
        <s v="[Winter daily sitreps].[Date].&amp;[2020-01-14T00:00:00]" c="14/01/20"/>
        <s v="[Winter daily sitreps].[Date].&amp;[2020-01-15T00:00:00]" c="15/01/20"/>
        <s v="[Winter daily sitreps].[Date].&amp;[2020-01-16T00:00:00]" c="16/01/20"/>
        <s v="[Winter daily sitreps].[Date].&amp;[2020-01-17T00:00:00]" c="17/01/20"/>
        <s v="[Winter daily sitreps].[Date].&amp;[2020-01-18T00:00:00]" c="18/01/20"/>
        <s v="[Winter daily sitreps].[Date].&amp;[2020-01-19T00:00:00]" c="19/01/20"/>
        <s v="[Winter daily sitreps].[Date].&amp;[2020-01-20T00:00:00]" c="20/01/20"/>
        <s v="[Winter daily sitreps].[Date].&amp;[2020-01-21T00:00:00]" c="21/01/20"/>
        <s v="[Winter daily sitreps].[Date].&amp;[2020-01-22T00:00:00]" c="22/01/20"/>
        <s v="[Winter daily sitreps].[Date].&amp;[2020-01-23T00:00:00]" c="23/01/20"/>
        <s v="[Winter daily sitreps].[Date].&amp;[2020-01-24T00:00:00]" c="24/01/20"/>
        <s v="[Winter daily sitreps].[Date].&amp;[2020-01-25T00:00:00]" c="25/01/20"/>
        <s v="[Winter daily sitreps].[Date].&amp;[2020-01-26T00:00:00]" c="26/01/20"/>
        <s v="[Winter daily sitreps].[Date].&amp;[2020-01-27T00:00:00]" c="27/01/20"/>
        <s v="[Winter daily sitreps].[Date].&amp;[2020-01-28T00:00:00]" c="28/01/20"/>
        <s v="[Winter daily sitreps].[Date].&amp;[2020-01-29T00:00:00]" c="29/01/20"/>
        <s v="[Winter daily sitreps].[Date].&amp;[2020-01-30T00:00:00]" c="30/01/20"/>
        <s v="[Winter daily sitreps].[Date].&amp;[2020-01-31T00:00:00]" c="31/01/20"/>
        <s v="[Winter daily sitreps].[Date].&amp;[2020-02-01T00:00:00]" c="01/02/20"/>
        <s v="[Winter daily sitreps].[Date].&amp;[2020-02-02T00:00:00]" c="02/02/20"/>
        <s v="[Winter daily sitreps].[Date].&amp;[2020-02-03T00:00:00]" c="03/02/20"/>
        <s v="[Winter daily sitreps].[Date].&amp;[2020-02-04T00:00:00]" c="04/02/20"/>
        <s v="[Winter daily sitreps].[Date].&amp;[2020-02-05T00:00:00]" c="05/02/20"/>
        <s v="[Winter daily sitreps].[Date].&amp;[2020-02-06T00:00:00]" c="06/02/20"/>
        <s v="[Winter daily sitreps].[Date].&amp;[2020-02-07T00:00:00]" c="07/02/20"/>
        <s v="[Winter daily sitreps].[Date].&amp;[2020-02-08T00:00:00]" c="08/02/20"/>
        <s v="[Winter daily sitreps].[Date].&amp;[2020-02-09T00:00:00]" c="09/02/20"/>
        <s v="[Winter daily sitreps].[Date].&amp;[2020-02-10T00:00:00]" c="10/02/20"/>
        <s v="[Winter daily sitreps].[Date].&amp;[2020-02-11T00:00:00]" c="11/02/20"/>
        <s v="[Winter daily sitreps].[Date].&amp;[2020-02-12T00:00:00]" c="12/02/20"/>
        <s v="[Winter daily sitreps].[Date].&amp;[2020-02-13T00:00:00]" c="13/02/20"/>
        <s v="[Winter daily sitreps].[Date].&amp;[2020-02-14T00:00:00]" c="14/02/20"/>
        <s v="[Winter daily sitreps].[Date].&amp;[2020-02-15T00:00:00]" c="15/02/20"/>
        <s v="[Winter daily sitreps].[Date].&amp;[2020-02-16T00:00:00]" c="16/02/20"/>
        <s v="[Winter daily sitreps].[Date].&amp;[2020-02-17T00:00:00]" c="17/02/20"/>
        <s v="[Winter daily sitreps].[Date].&amp;[2020-02-18T00:00:00]" c="18/02/20"/>
        <s v="[Winter daily sitreps].[Date].&amp;[2020-02-19T00:00:00]" c="19/02/20"/>
        <s v="[Winter daily sitreps].[Date].&amp;[2020-02-20T00:00:00]" c="20/02/20"/>
        <s v="[Winter daily sitreps].[Date].&amp;[2020-02-21T00:00:00]" c="21/02/20"/>
        <s v="[Winter daily sitreps].[Date].&amp;[2020-02-22T00:00:00]" c="22/02/20"/>
        <s v="[Winter daily sitreps].[Date].&amp;[2020-02-23T00:00:00]" c="23/02/20"/>
        <s v="[Winter daily sitreps].[Date].&amp;[2020-02-24T00:00:00]" c="24/02/20"/>
        <s v="[Winter daily sitreps].[Date].&amp;[2020-02-25T00:00:00]" c="25/02/20"/>
        <s v="[Winter daily sitreps].[Date].&amp;[2020-02-26T00:00:00]" c="26/02/20"/>
        <s v="[Winter daily sitreps].[Date].&amp;[2020-02-27T00:00:00]" c="27/02/20"/>
        <s v="[Winter daily sitreps].[Date].&amp;[2020-02-28T00:00:00]" c="28/02/20"/>
        <s v="[Winter daily sitreps].[Date].&amp;[2020-02-29T00:00:00]" c="29/02/20"/>
        <s v="[Winter daily sitreps].[Date].&amp;[2020-03-01T00:00:00]" c="01/03/20"/>
      </sharedItems>
    </cacheField>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Jake Lashbrook Admin" refreshedDate="43895.507020833335" createdVersion="4" refreshedVersion="4" minRefreshableVersion="3" recordCount="0" supportSubquery="1" supportAdvancedDrill="1">
  <cacheSource type="external" connectionId="1"/>
  <cacheFields count="5">
    <cacheField name="[Winter daily sitreps].[Year].[Year]" caption="Year" numFmtId="0" hierarchy="70" level="1">
      <sharedItems containsSemiMixedTypes="0" containsString="0"/>
    </cacheField>
    <cacheField name="[Measures].[Sum of GA core beds avail]" caption="Sum of GA core beds avail" numFmtId="0" hierarchy="84" level="32767"/>
    <cacheField name="[Measures].[Sum of GA escalation beds avail]" caption="Sum of GA escalation beds avail" numFmtId="0" hierarchy="85" level="32767"/>
    <cacheField name="[Measures].[Sum of GA total beds avail]" caption="Sum of GA total beds avail" numFmtId="0" hierarchy="72" level="32767"/>
    <cacheField name="[Winter daily sitreps].[Date].[Date]" caption="Date" numFmtId="0" hierarchy="49" level="1">
      <sharedItems count="91">
        <s v="[Winter daily sitreps].[Date].&amp;[2019-12-02T00:00:00]" c="02/12/19"/>
        <s v="[Winter daily sitreps].[Date].&amp;[2019-12-03T00:00:00]" c="03/12/19"/>
        <s v="[Winter daily sitreps].[Date].&amp;[2019-12-04T00:00:00]" c="04/12/19"/>
        <s v="[Winter daily sitreps].[Date].&amp;[2019-12-05T00:00:00]" c="05/12/19"/>
        <s v="[Winter daily sitreps].[Date].&amp;[2019-12-06T00:00:00]" c="06/12/19"/>
        <s v="[Winter daily sitreps].[Date].&amp;[2019-12-07T00:00:00]" c="07/12/19"/>
        <s v="[Winter daily sitreps].[Date].&amp;[2019-12-08T00:00:00]" c="08/12/19"/>
        <s v="[Winter daily sitreps].[Date].&amp;[2019-12-09T00:00:00]" c="09/12/19"/>
        <s v="[Winter daily sitreps].[Date].&amp;[2019-12-10T00:00:00]" c="10/12/19"/>
        <s v="[Winter daily sitreps].[Date].&amp;[2019-12-11T00:00:00]" c="11/12/19"/>
        <s v="[Winter daily sitreps].[Date].&amp;[2019-12-12T00:00:00]" c="12/12/19"/>
        <s v="[Winter daily sitreps].[Date].&amp;[2019-12-13T00:00:00]" c="13/12/19"/>
        <s v="[Winter daily sitreps].[Date].&amp;[2019-12-14T00:00:00]" c="14/12/19"/>
        <s v="[Winter daily sitreps].[Date].&amp;[2019-12-15T00:00:00]" c="15/12/19"/>
        <s v="[Winter daily sitreps].[Date].&amp;[2019-12-16T00:00:00]" c="16/12/19"/>
        <s v="[Winter daily sitreps].[Date].&amp;[2019-12-17T00:00:00]" c="17/12/19"/>
        <s v="[Winter daily sitreps].[Date].&amp;[2019-12-18T00:00:00]" c="18/12/19"/>
        <s v="[Winter daily sitreps].[Date].&amp;[2019-12-19T00:00:00]" c="19/12/19"/>
        <s v="[Winter daily sitreps].[Date].&amp;[2019-12-20T00:00:00]" c="20/12/19"/>
        <s v="[Winter daily sitreps].[Date].&amp;[2019-12-21T00:00:00]" c="21/12/19"/>
        <s v="[Winter daily sitreps].[Date].&amp;[2019-12-22T00:00:00]" c="22/12/19"/>
        <s v="[Winter daily sitreps].[Date].&amp;[2019-12-23T00:00:00]" c="23/12/19"/>
        <s v="[Winter daily sitreps].[Date].&amp;[2019-12-24T00:00:00]" c="24/12/19"/>
        <s v="[Winter daily sitreps].[Date].&amp;[2019-12-25T00:00:00]" c="25/12/19"/>
        <s v="[Winter daily sitreps].[Date].&amp;[2019-12-26T00:00:00]" c="26/12/19"/>
        <s v="[Winter daily sitreps].[Date].&amp;[2019-12-27T00:00:00]" c="27/12/19"/>
        <s v="[Winter daily sitreps].[Date].&amp;[2019-12-28T00:00:00]" c="28/12/19"/>
        <s v="[Winter daily sitreps].[Date].&amp;[2019-12-29T00:00:00]" c="29/12/19"/>
        <s v="[Winter daily sitreps].[Date].&amp;[2019-12-30T00:00:00]" c="30/12/19"/>
        <s v="[Winter daily sitreps].[Date].&amp;[2019-12-31T00:00:00]" c="31/12/19"/>
        <s v="[Winter daily sitreps].[Date].&amp;[2020-01-01T00:00:00]" c="01/01/20"/>
        <s v="[Winter daily sitreps].[Date].&amp;[2020-01-02T00:00:00]" c="02/01/20"/>
        <s v="[Winter daily sitreps].[Date].&amp;[2020-01-03T00:00:00]" c="03/01/20"/>
        <s v="[Winter daily sitreps].[Date].&amp;[2020-01-04T00:00:00]" c="04/01/20"/>
        <s v="[Winter daily sitreps].[Date].&amp;[2020-01-05T00:00:00]" c="05/01/20"/>
        <s v="[Winter daily sitreps].[Date].&amp;[2020-01-06T00:00:00]" c="06/01/20"/>
        <s v="[Winter daily sitreps].[Date].&amp;[2020-01-07T00:00:00]" c="07/01/20"/>
        <s v="[Winter daily sitreps].[Date].&amp;[2020-01-08T00:00:00]" c="08/01/20"/>
        <s v="[Winter daily sitreps].[Date].&amp;[2020-01-09T00:00:00]" c="09/01/20"/>
        <s v="[Winter daily sitreps].[Date].&amp;[2020-01-10T00:00:00]" c="10/01/20"/>
        <s v="[Winter daily sitreps].[Date].&amp;[2020-01-11T00:00:00]" c="11/01/20"/>
        <s v="[Winter daily sitreps].[Date].&amp;[2020-01-12T00:00:00]" c="12/01/20"/>
        <s v="[Winter daily sitreps].[Date].&amp;[2020-01-13T00:00:00]" c="13/01/20"/>
        <s v="[Winter daily sitreps].[Date].&amp;[2020-01-14T00:00:00]" c="14/01/20"/>
        <s v="[Winter daily sitreps].[Date].&amp;[2020-01-15T00:00:00]" c="15/01/20"/>
        <s v="[Winter daily sitreps].[Date].&amp;[2020-01-16T00:00:00]" c="16/01/20"/>
        <s v="[Winter daily sitreps].[Date].&amp;[2020-01-17T00:00:00]" c="17/01/20"/>
        <s v="[Winter daily sitreps].[Date].&amp;[2020-01-18T00:00:00]" c="18/01/20"/>
        <s v="[Winter daily sitreps].[Date].&amp;[2020-01-19T00:00:00]" c="19/01/20"/>
        <s v="[Winter daily sitreps].[Date].&amp;[2020-01-20T00:00:00]" c="20/01/20"/>
        <s v="[Winter daily sitreps].[Date].&amp;[2020-01-21T00:00:00]" c="21/01/20"/>
        <s v="[Winter daily sitreps].[Date].&amp;[2020-01-22T00:00:00]" c="22/01/20"/>
        <s v="[Winter daily sitreps].[Date].&amp;[2020-01-23T00:00:00]" c="23/01/20"/>
        <s v="[Winter daily sitreps].[Date].&amp;[2020-01-24T00:00:00]" c="24/01/20"/>
        <s v="[Winter daily sitreps].[Date].&amp;[2020-01-25T00:00:00]" c="25/01/20"/>
        <s v="[Winter daily sitreps].[Date].&amp;[2020-01-26T00:00:00]" c="26/01/20"/>
        <s v="[Winter daily sitreps].[Date].&amp;[2020-01-27T00:00:00]" c="27/01/20"/>
        <s v="[Winter daily sitreps].[Date].&amp;[2020-01-28T00:00:00]" c="28/01/20"/>
        <s v="[Winter daily sitreps].[Date].&amp;[2020-01-29T00:00:00]" c="29/01/20"/>
        <s v="[Winter daily sitreps].[Date].&amp;[2020-01-30T00:00:00]" c="30/01/20"/>
        <s v="[Winter daily sitreps].[Date].&amp;[2020-01-31T00:00:00]" c="31/01/20"/>
        <s v="[Winter daily sitreps].[Date].&amp;[2020-02-01T00:00:00]" c="01/02/20"/>
        <s v="[Winter daily sitreps].[Date].&amp;[2020-02-02T00:00:00]" c="02/02/20"/>
        <s v="[Winter daily sitreps].[Date].&amp;[2020-02-03T00:00:00]" c="03/02/20"/>
        <s v="[Winter daily sitreps].[Date].&amp;[2020-02-04T00:00:00]" c="04/02/20"/>
        <s v="[Winter daily sitreps].[Date].&amp;[2020-02-05T00:00:00]" c="05/02/20"/>
        <s v="[Winter daily sitreps].[Date].&amp;[2020-02-06T00:00:00]" c="06/02/20"/>
        <s v="[Winter daily sitreps].[Date].&amp;[2020-02-07T00:00:00]" c="07/02/20"/>
        <s v="[Winter daily sitreps].[Date].&amp;[2020-02-08T00:00:00]" c="08/02/20"/>
        <s v="[Winter daily sitreps].[Date].&amp;[2020-02-09T00:00:00]" c="09/02/20"/>
        <s v="[Winter daily sitreps].[Date].&amp;[2020-02-10T00:00:00]" c="10/02/20"/>
        <s v="[Winter daily sitreps].[Date].&amp;[2020-02-11T00:00:00]" c="11/02/20"/>
        <s v="[Winter daily sitreps].[Date].&amp;[2020-02-12T00:00:00]" c="12/02/20"/>
        <s v="[Winter daily sitreps].[Date].&amp;[2020-02-13T00:00:00]" c="13/02/20"/>
        <s v="[Winter daily sitreps].[Date].&amp;[2020-02-14T00:00:00]" c="14/02/20"/>
        <s v="[Winter daily sitreps].[Date].&amp;[2020-02-15T00:00:00]" c="15/02/20"/>
        <s v="[Winter daily sitreps].[Date].&amp;[2020-02-16T00:00:00]" c="16/02/20"/>
        <s v="[Winter daily sitreps].[Date].&amp;[2020-02-17T00:00:00]" c="17/02/20"/>
        <s v="[Winter daily sitreps].[Date].&amp;[2020-02-18T00:00:00]" c="18/02/20"/>
        <s v="[Winter daily sitreps].[Date].&amp;[2020-02-19T00:00:00]" c="19/02/20"/>
        <s v="[Winter daily sitreps].[Date].&amp;[2020-02-20T00:00:00]" c="20/02/20"/>
        <s v="[Winter daily sitreps].[Date].&amp;[2020-02-21T00:00:00]" c="21/02/20"/>
        <s v="[Winter daily sitreps].[Date].&amp;[2020-02-22T00:00:00]" c="22/02/20"/>
        <s v="[Winter daily sitreps].[Date].&amp;[2020-02-23T00:00:00]" c="23/02/20"/>
        <s v="[Winter daily sitreps].[Date].&amp;[2020-02-24T00:00:00]" c="24/02/20"/>
        <s v="[Winter daily sitreps].[Date].&amp;[2020-02-25T00:00:00]" c="25/02/20"/>
        <s v="[Winter daily sitreps].[Date].&amp;[2020-02-26T00:00:00]" c="26/02/20"/>
        <s v="[Winter daily sitreps].[Date].&amp;[2020-02-27T00:00:00]" c="27/02/20"/>
        <s v="[Winter daily sitreps].[Date].&amp;[2020-02-28T00:00:00]" c="28/02/20"/>
        <s v="[Winter daily sitreps].[Date].&amp;[2020-02-29T00:00:00]" c="29/02/20"/>
        <s v="[Winter daily sitreps].[Date].&amp;[2020-03-01T00:00:00]" c="01/03/20"/>
      </sharedItems>
    </cacheField>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Jake Lashbrook Admin" refreshedDate="43895.507023495367" createdVersion="4" refreshedVersion="4" minRefreshableVersion="3" recordCount="0" supportSubquery="1" supportAdvancedDrill="1">
  <cacheSource type="external" connectionId="1"/>
  <cacheFields count="4">
    <cacheField name="[Winter daily sitreps].[Year].[Year]" caption="Year" numFmtId="0" hierarchy="70" level="1">
      <sharedItems containsSemiMixedTypes="0" containsString="0"/>
    </cacheField>
    <cacheField name="[Measures].[Sum of GA total beds avail]" caption="Sum of GA total beds avail" numFmtId="0" hierarchy="72" level="32767"/>
    <cacheField name="[Measures].[Sum of GA total beds occupied]" caption="Sum of GA total beds occupied" numFmtId="0" hierarchy="91" level="32767"/>
    <cacheField name="[Winter daily sitreps].[Week].[Week]" caption="Week" numFmtId="0" hierarchy="67" level="1">
      <sharedItems count="13">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haredItems>
    </cacheField>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3"/>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Jake Lashbrook Admin" refreshedDate="43895.507034027774" createdVersion="4" refreshedVersion="4" minRefreshableVersion="3" recordCount="0" supportSubquery="1" supportAdvancedDrill="1">
  <cacheSource type="external" connectionId="1"/>
  <cacheFields count="5">
    <cacheField name="[Winter daily sitreps].[Year].[Year]" caption="Year" numFmtId="0" hierarchy="70" level="1">
      <sharedItems containsSemiMixedTypes="0" containsString="0"/>
    </cacheField>
    <cacheField name="[Winter daily sitreps].[Name].[Name]" caption="Name" numFmtId="0" hierarchy="59" level="1">
      <sharedItems count="132">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SSEX NHS FOUNDATION TRUST]" c="EAST SUFFOLK AND NORTH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UNIVERSITY TEACHING HOSPITALS NHS TRUST]" c="HULL UNIVERSITY TEACHING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IVERPOOL UNIVERSITY HOSPITALS NHS FOUNDATION TRUST]" c="LIVERPOOL UNIVERSITY HOSPITALS NHS FOUNDATION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INTEGRATED CARE NHS FOUNDATION TRUST]" c="NORTH CUMBRIA INTEGRATED CARE NHS FOUNDATION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SURREY NHS FOUNDATION TRUST]" c="ROYAL SURREY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AND SUNDERLAND NHS FOUNDATION TRUST]" c="SOUTH TYNESIDE AND SUNDERLAND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Winter daily sitreps].[Day].[Day]" caption="Day" numFmtId="0" hierarchy="50" level="1">
      <sharedItems count="7">
        <s v="[Winter daily sitreps].[Day].&amp;[Friday]" c="Friday"/>
        <s v="[Winter daily sitreps].[Day].&amp;[Monday]" c="Monday"/>
        <s v="[Winter daily sitreps].[Day].&amp;[Saturday]" c="Saturday"/>
        <s v="[Winter daily sitreps].[Day].&amp;[Sunday]" c="Sunday"/>
        <s v="[Winter daily sitreps].[Day].&amp;[Thursday]" c="Thursday"/>
        <s v="[Winter daily sitreps].[Day].&amp;[Tuesday]" c="Tuesday"/>
        <s v="[Winter daily sitreps].[Day].&amp;[Wednesday]" c="Wednesday"/>
      </sharedItems>
    </cacheField>
    <cacheField name="[Winter daily sitreps].[Week long].[Week long]" caption="Week long" numFmtId="0" hierarchy="6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Average of GA bed occupancy]" caption="Average of GA bed occupancy" numFmtId="0" hierarchy="83" level="32767"/>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2" unbalanced="0">
      <fieldsUsage count="2">
        <fieldUsage x="-1"/>
        <fieldUsage x="2"/>
      </fieldsUsage>
    </cacheHierarchy>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1"/>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oneField="1">
      <fieldsUsage count="1">
        <fieldUsage x="4"/>
      </fieldsUsage>
    </cacheHierarchy>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Jake Lashbrook Admin" refreshedDate="43895.507038425923" createdVersion="4" refreshedVersion="4" minRefreshableVersion="3" recordCount="0" supportSubquery="1" supportAdvancedDrill="1">
  <cacheSource type="external" connectionId="1"/>
  <cacheFields count="3">
    <cacheField name="[Winter daily sitreps].[Year].[Year]" caption="Year" numFmtId="0" hierarchy="70" level="1">
      <sharedItems containsSemiMixedTypes="0" containsString="0"/>
    </cacheField>
    <cacheField name="[Winter daily sitreps].[Week].[Week]" caption="Week" numFmtId="0" hierarchy="67" level="1">
      <sharedItems count="13">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haredItems>
    </cacheField>
    <cacheField name="[Measures].[Sum of Beds closed norovirus]" caption="Sum of Beds closed norovirus" numFmtId="0" hierarchy="74" level="32767"/>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Jake Lashbrook Admin" refreshedDate="43895.507041203702" createdVersion="4" refreshedVersion="4" minRefreshableVersion="3" recordCount="0" supportSubquery="1" supportAdvancedDrill="1">
  <cacheSource type="external" connectionId="1"/>
  <cacheFields count="4">
    <cacheField name="[Winter daily sitreps].[Year].[Year]" caption="Year" numFmtId="0" hierarchy="70" level="1">
      <sharedItems containsSemiMixedTypes="0" containsString="0"/>
    </cacheField>
    <cacheField name="[Measures].[Sum of Beds closed norovirus]" caption="Sum of Beds closed norovirus" numFmtId="0" hierarchy="74" level="32767"/>
    <cacheField name="[Winter daily sitreps].[Week long].[Week long]" caption="Week long" numFmtId="0" hierarchy="6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59" level="1">
      <sharedItems count="132">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SSEX NHS FOUNDATION TRUST]" c="EAST SUFFOLK AND NORTH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UNIVERSITY TEACHING HOSPITALS NHS TRUST]" c="HULL UNIVERSITY TEACHING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IVERPOOL UNIVERSITY HOSPITALS NHS FOUNDATION TRUST]" c="LIVERPOOL UNIVERSITY HOSPITALS NHS FOUNDATION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INTEGRATED CARE NHS FOUNDATION TRUST]" c="NORTH CUMBRIA INTEGRATED CARE NHS FOUNDATION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SURREY NHS FOUNDATION TRUST]" c="ROYAL SURREY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AND SUNDERLAND NHS FOUNDATION TRUST]" c="SOUTH TYNESIDE AND SUNDERLAND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3"/>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Jake Lashbrook Admin" refreshedDate="43895.507043865742" createdVersion="4" refreshedVersion="4" minRefreshableVersion="3" recordCount="0" supportSubquery="1" supportAdvancedDrill="1">
  <cacheSource type="external" connectionId="1"/>
  <cacheFields count="3">
    <cacheField name="[Winter daily sitreps].[Year].[Year]" caption="Year" numFmtId="0" hierarchy="70" level="1">
      <sharedItems containsSemiMixedTypes="0" containsString="0"/>
    </cacheField>
    <cacheField name="[Winter daily sitreps].[Date].[Date]" caption="Date" numFmtId="0" hierarchy="49" level="1">
      <sharedItems count="91">
        <s v="[Winter daily sitreps].[Date].&amp;[2019-12-02T00:00:00]" c="02/12/19"/>
        <s v="[Winter daily sitreps].[Date].&amp;[2019-12-03T00:00:00]" c="03/12/19"/>
        <s v="[Winter daily sitreps].[Date].&amp;[2019-12-04T00:00:00]" c="04/12/19"/>
        <s v="[Winter daily sitreps].[Date].&amp;[2019-12-05T00:00:00]" c="05/12/19"/>
        <s v="[Winter daily sitreps].[Date].&amp;[2019-12-06T00:00:00]" c="06/12/19"/>
        <s v="[Winter daily sitreps].[Date].&amp;[2019-12-07T00:00:00]" c="07/12/19"/>
        <s v="[Winter daily sitreps].[Date].&amp;[2019-12-08T00:00:00]" c="08/12/19"/>
        <s v="[Winter daily sitreps].[Date].&amp;[2019-12-09T00:00:00]" c="09/12/19"/>
        <s v="[Winter daily sitreps].[Date].&amp;[2019-12-10T00:00:00]" c="10/12/19"/>
        <s v="[Winter daily sitreps].[Date].&amp;[2019-12-11T00:00:00]" c="11/12/19"/>
        <s v="[Winter daily sitreps].[Date].&amp;[2019-12-12T00:00:00]" c="12/12/19"/>
        <s v="[Winter daily sitreps].[Date].&amp;[2019-12-13T00:00:00]" c="13/12/19"/>
        <s v="[Winter daily sitreps].[Date].&amp;[2019-12-14T00:00:00]" c="14/12/19"/>
        <s v="[Winter daily sitreps].[Date].&amp;[2019-12-15T00:00:00]" c="15/12/19"/>
        <s v="[Winter daily sitreps].[Date].&amp;[2019-12-16T00:00:00]" c="16/12/19"/>
        <s v="[Winter daily sitreps].[Date].&amp;[2019-12-17T00:00:00]" c="17/12/19"/>
        <s v="[Winter daily sitreps].[Date].&amp;[2019-12-18T00:00:00]" c="18/12/19"/>
        <s v="[Winter daily sitreps].[Date].&amp;[2019-12-19T00:00:00]" c="19/12/19"/>
        <s v="[Winter daily sitreps].[Date].&amp;[2019-12-20T00:00:00]" c="20/12/19"/>
        <s v="[Winter daily sitreps].[Date].&amp;[2019-12-21T00:00:00]" c="21/12/19"/>
        <s v="[Winter daily sitreps].[Date].&amp;[2019-12-22T00:00:00]" c="22/12/19"/>
        <s v="[Winter daily sitreps].[Date].&amp;[2019-12-23T00:00:00]" c="23/12/19"/>
        <s v="[Winter daily sitreps].[Date].&amp;[2019-12-24T00:00:00]" c="24/12/19"/>
        <s v="[Winter daily sitreps].[Date].&amp;[2019-12-25T00:00:00]" c="25/12/19"/>
        <s v="[Winter daily sitreps].[Date].&amp;[2019-12-26T00:00:00]" c="26/12/19"/>
        <s v="[Winter daily sitreps].[Date].&amp;[2019-12-27T00:00:00]" c="27/12/19"/>
        <s v="[Winter daily sitreps].[Date].&amp;[2019-12-28T00:00:00]" c="28/12/19"/>
        <s v="[Winter daily sitreps].[Date].&amp;[2019-12-29T00:00:00]" c="29/12/19"/>
        <s v="[Winter daily sitreps].[Date].&amp;[2019-12-30T00:00:00]" c="30/12/19"/>
        <s v="[Winter daily sitreps].[Date].&amp;[2019-12-31T00:00:00]" c="31/12/19"/>
        <s v="[Winter daily sitreps].[Date].&amp;[2020-01-01T00:00:00]" c="01/01/20"/>
        <s v="[Winter daily sitreps].[Date].&amp;[2020-01-02T00:00:00]" c="02/01/20"/>
        <s v="[Winter daily sitreps].[Date].&amp;[2020-01-03T00:00:00]" c="03/01/20"/>
        <s v="[Winter daily sitreps].[Date].&amp;[2020-01-04T00:00:00]" c="04/01/20"/>
        <s v="[Winter daily sitreps].[Date].&amp;[2020-01-05T00:00:00]" c="05/01/20"/>
        <s v="[Winter daily sitreps].[Date].&amp;[2020-01-06T00:00:00]" c="06/01/20"/>
        <s v="[Winter daily sitreps].[Date].&amp;[2020-01-07T00:00:00]" c="07/01/20"/>
        <s v="[Winter daily sitreps].[Date].&amp;[2020-01-08T00:00:00]" c="08/01/20"/>
        <s v="[Winter daily sitreps].[Date].&amp;[2020-01-09T00:00:00]" c="09/01/20"/>
        <s v="[Winter daily sitreps].[Date].&amp;[2020-01-10T00:00:00]" c="10/01/20"/>
        <s v="[Winter daily sitreps].[Date].&amp;[2020-01-11T00:00:00]" c="11/01/20"/>
        <s v="[Winter daily sitreps].[Date].&amp;[2020-01-12T00:00:00]" c="12/01/20"/>
        <s v="[Winter daily sitreps].[Date].&amp;[2020-01-13T00:00:00]" c="13/01/20"/>
        <s v="[Winter daily sitreps].[Date].&amp;[2020-01-14T00:00:00]" c="14/01/20"/>
        <s v="[Winter daily sitreps].[Date].&amp;[2020-01-15T00:00:00]" c="15/01/20"/>
        <s v="[Winter daily sitreps].[Date].&amp;[2020-01-16T00:00:00]" c="16/01/20"/>
        <s v="[Winter daily sitreps].[Date].&amp;[2020-01-17T00:00:00]" c="17/01/20"/>
        <s v="[Winter daily sitreps].[Date].&amp;[2020-01-18T00:00:00]" c="18/01/20"/>
        <s v="[Winter daily sitreps].[Date].&amp;[2020-01-19T00:00:00]" c="19/01/20"/>
        <s v="[Winter daily sitreps].[Date].&amp;[2020-01-20T00:00:00]" c="20/01/20"/>
        <s v="[Winter daily sitreps].[Date].&amp;[2020-01-21T00:00:00]" c="21/01/20"/>
        <s v="[Winter daily sitreps].[Date].&amp;[2020-01-22T00:00:00]" c="22/01/20"/>
        <s v="[Winter daily sitreps].[Date].&amp;[2020-01-23T00:00:00]" c="23/01/20"/>
        <s v="[Winter daily sitreps].[Date].&amp;[2020-01-24T00:00:00]" c="24/01/20"/>
        <s v="[Winter daily sitreps].[Date].&amp;[2020-01-25T00:00:00]" c="25/01/20"/>
        <s v="[Winter daily sitreps].[Date].&amp;[2020-01-26T00:00:00]" c="26/01/20"/>
        <s v="[Winter daily sitreps].[Date].&amp;[2020-01-27T00:00:00]" c="27/01/20"/>
        <s v="[Winter daily sitreps].[Date].&amp;[2020-01-28T00:00:00]" c="28/01/20"/>
        <s v="[Winter daily sitreps].[Date].&amp;[2020-01-29T00:00:00]" c="29/01/20"/>
        <s v="[Winter daily sitreps].[Date].&amp;[2020-01-30T00:00:00]" c="30/01/20"/>
        <s v="[Winter daily sitreps].[Date].&amp;[2020-01-31T00:00:00]" c="31/01/20"/>
        <s v="[Winter daily sitreps].[Date].&amp;[2020-02-01T00:00:00]" c="01/02/20"/>
        <s v="[Winter daily sitreps].[Date].&amp;[2020-02-02T00:00:00]" c="02/02/20"/>
        <s v="[Winter daily sitreps].[Date].&amp;[2020-02-03T00:00:00]" c="03/02/20"/>
        <s v="[Winter daily sitreps].[Date].&amp;[2020-02-04T00:00:00]" c="04/02/20"/>
        <s v="[Winter daily sitreps].[Date].&amp;[2020-02-05T00:00:00]" c="05/02/20"/>
        <s v="[Winter daily sitreps].[Date].&amp;[2020-02-06T00:00:00]" c="06/02/20"/>
        <s v="[Winter daily sitreps].[Date].&amp;[2020-02-07T00:00:00]" c="07/02/20"/>
        <s v="[Winter daily sitreps].[Date].&amp;[2020-02-08T00:00:00]" c="08/02/20"/>
        <s v="[Winter daily sitreps].[Date].&amp;[2020-02-09T00:00:00]" c="09/02/20"/>
        <s v="[Winter daily sitreps].[Date].&amp;[2020-02-10T00:00:00]" c="10/02/20"/>
        <s v="[Winter daily sitreps].[Date].&amp;[2020-02-11T00:00:00]" c="11/02/20"/>
        <s v="[Winter daily sitreps].[Date].&amp;[2020-02-12T00:00:00]" c="12/02/20"/>
        <s v="[Winter daily sitreps].[Date].&amp;[2020-02-13T00:00:00]" c="13/02/20"/>
        <s v="[Winter daily sitreps].[Date].&amp;[2020-02-14T00:00:00]" c="14/02/20"/>
        <s v="[Winter daily sitreps].[Date].&amp;[2020-02-15T00:00:00]" c="15/02/20"/>
        <s v="[Winter daily sitreps].[Date].&amp;[2020-02-16T00:00:00]" c="16/02/20"/>
        <s v="[Winter daily sitreps].[Date].&amp;[2020-02-17T00:00:00]" c="17/02/20"/>
        <s v="[Winter daily sitreps].[Date].&amp;[2020-02-18T00:00:00]" c="18/02/20"/>
        <s v="[Winter daily sitreps].[Date].&amp;[2020-02-19T00:00:00]" c="19/02/20"/>
        <s v="[Winter daily sitreps].[Date].&amp;[2020-02-20T00:00:00]" c="20/02/20"/>
        <s v="[Winter daily sitreps].[Date].&amp;[2020-02-21T00:00:00]" c="21/02/20"/>
        <s v="[Winter daily sitreps].[Date].&amp;[2020-02-22T00:00:00]" c="22/02/20"/>
        <s v="[Winter daily sitreps].[Date].&amp;[2020-02-23T00:00:00]" c="23/02/20"/>
        <s v="[Winter daily sitreps].[Date].&amp;[2020-02-24T00:00:00]" c="24/02/20"/>
        <s v="[Winter daily sitreps].[Date].&amp;[2020-02-25T00:00:00]" c="25/02/20"/>
        <s v="[Winter daily sitreps].[Date].&amp;[2020-02-26T00:00:00]" c="26/02/20"/>
        <s v="[Winter daily sitreps].[Date].&amp;[2020-02-27T00:00:00]" c="27/02/20"/>
        <s v="[Winter daily sitreps].[Date].&amp;[2020-02-28T00:00:00]" c="28/02/20"/>
        <s v="[Winter daily sitreps].[Date].&amp;[2020-02-29T00:00:00]" c="29/02/20"/>
        <s v="[Winter daily sitreps].[Date].&amp;[2020-03-01T00:00:00]" c="01/03/20"/>
      </sharedItems>
    </cacheField>
    <cacheField name="[Measures].[Sum of Beds closed norovirus]" caption="Sum of Beds closed norovirus" numFmtId="0" hierarchy="74" level="32767"/>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saveData="0" refreshedBy="Jake Lashbrook Admin" refreshedDate="43895.507045949074" createdVersion="4" refreshedVersion="4" minRefreshableVersion="3" recordCount="0" supportSubquery="1" supportAdvancedDrill="1">
  <cacheSource type="external" connectionId="1"/>
  <cacheFields count="3">
    <cacheField name="[Winter daily sitreps].[Year].[Year]" caption="Year" numFmtId="0" hierarchy="70" level="1">
      <sharedItems containsSemiMixedTypes="0" containsString="0"/>
    </cacheField>
    <cacheField name="[Winter daily sitreps].[Week].[Week]" caption="Week" numFmtId="0" hierarchy="67" level="1">
      <sharedItems count="13">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haredItems>
    </cacheField>
    <cacheField name="[Measures].[Sum of Beds closed norovius unocc]" caption="Sum of Beds closed norovius unocc" numFmtId="0" hierarchy="75" level="32767"/>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Jake Lashbrook Admin" refreshedDate="43895.506962962965" createdVersion="4" refreshedVersion="4" minRefreshableVersion="3" recordCount="0" supportSubquery="1" supportAdvancedDrill="1">
  <cacheSource type="external" connectionId="1"/>
  <cacheFields count="4">
    <cacheField name="[Measures].[Sum of AE diverts]" caption="Sum of AE diverts" numFmtId="0" hierarchy="71" level="32767"/>
    <cacheField name="[Winter daily sitreps].[Year].[Year]" caption="Year" numFmtId="0" hierarchy="70" level="1">
      <sharedItems containsSemiMixedTypes="0" containsString="0"/>
    </cacheField>
    <cacheField name="[Winter daily sitreps].[Region].[Region]" caption="Region" numFmtId="0" hierarchy="66" level="1">
      <sharedItems count="7">
        <s v="[Winter daily sitreps].[Region].&amp;[East Of England]" c="East Of England"/>
        <s v="[Winter daily sitreps].[Region].&amp;[London]" c="London"/>
        <s v="[Winter daily sitreps].[Region].&amp;[Midlands]" c="Midlands"/>
        <s v="[Winter daily sitreps].[Region].&amp;[North East and Yorkshire]" c="North East and Yorkshire"/>
        <s v="[Winter daily sitreps].[Region].&amp;[North West Of England]" c="North West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saveData="0" refreshedBy="Jake Lashbrook Admin" refreshedDate="43895.507049189815" createdVersion="4" refreshedVersion="4" minRefreshableVersion="3" recordCount="0" supportSubquery="1" supportAdvancedDrill="1">
  <cacheSource type="external" connectionId="1"/>
  <cacheFields count="4">
    <cacheField name="[Winter daily sitreps].[Year].[Year]" caption="Year" numFmtId="0" hierarchy="70" level="1">
      <sharedItems containsSemiMixedTypes="0" containsString="0"/>
    </cacheField>
    <cacheField name="[Winter daily sitreps].[Week long].[Week long]" caption="Week long" numFmtId="0" hierarchy="6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59" level="1">
      <sharedItems count="132">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SSEX NHS FOUNDATION TRUST]" c="EAST SUFFOLK AND NORTH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UNIVERSITY TEACHING HOSPITALS NHS TRUST]" c="HULL UNIVERSITY TEACHING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IVERPOOL UNIVERSITY HOSPITALS NHS FOUNDATION TRUST]" c="LIVERPOOL UNIVERSITY HOSPITALS NHS FOUNDATION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INTEGRATED CARE NHS FOUNDATION TRUST]" c="NORTH CUMBRIA INTEGRATED CARE NHS FOUNDATION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SURREY NHS FOUNDATION TRUST]" c="ROYAL SURREY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AND SUNDERLAND NHS FOUNDATION TRUST]" c="SOUTH TYNESIDE AND SUNDERLAND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Beds closed norovius unocc]" caption="Sum of Beds closed norovius unocc" numFmtId="0" hierarchy="75" level="32767"/>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saveData="0" refreshedBy="Jake Lashbrook Admin" refreshedDate="43895.507051967594" createdVersion="4" refreshedVersion="4" minRefreshableVersion="3" recordCount="0" supportSubquery="1" supportAdvancedDrill="1">
  <cacheSource type="external" connectionId="1"/>
  <cacheFields count="3">
    <cacheField name="[Winter daily sitreps].[Year].[Year]" caption="Year" numFmtId="0" hierarchy="70" level="1">
      <sharedItems containsSemiMixedTypes="0" containsString="0"/>
    </cacheField>
    <cacheField name="[Winter daily sitreps].[Date].[Date]" caption="Date" numFmtId="0" hierarchy="49" level="1">
      <sharedItems count="91">
        <s v="[Winter daily sitreps].[Date].&amp;[2019-12-02T00:00:00]" c="02/12/19"/>
        <s v="[Winter daily sitreps].[Date].&amp;[2019-12-03T00:00:00]" c="03/12/19"/>
        <s v="[Winter daily sitreps].[Date].&amp;[2019-12-04T00:00:00]" c="04/12/19"/>
        <s v="[Winter daily sitreps].[Date].&amp;[2019-12-05T00:00:00]" c="05/12/19"/>
        <s v="[Winter daily sitreps].[Date].&amp;[2019-12-06T00:00:00]" c="06/12/19"/>
        <s v="[Winter daily sitreps].[Date].&amp;[2019-12-07T00:00:00]" c="07/12/19"/>
        <s v="[Winter daily sitreps].[Date].&amp;[2019-12-08T00:00:00]" c="08/12/19"/>
        <s v="[Winter daily sitreps].[Date].&amp;[2019-12-09T00:00:00]" c="09/12/19"/>
        <s v="[Winter daily sitreps].[Date].&amp;[2019-12-10T00:00:00]" c="10/12/19"/>
        <s v="[Winter daily sitreps].[Date].&amp;[2019-12-11T00:00:00]" c="11/12/19"/>
        <s v="[Winter daily sitreps].[Date].&amp;[2019-12-12T00:00:00]" c="12/12/19"/>
        <s v="[Winter daily sitreps].[Date].&amp;[2019-12-13T00:00:00]" c="13/12/19"/>
        <s v="[Winter daily sitreps].[Date].&amp;[2019-12-14T00:00:00]" c="14/12/19"/>
        <s v="[Winter daily sitreps].[Date].&amp;[2019-12-15T00:00:00]" c="15/12/19"/>
        <s v="[Winter daily sitreps].[Date].&amp;[2019-12-16T00:00:00]" c="16/12/19"/>
        <s v="[Winter daily sitreps].[Date].&amp;[2019-12-17T00:00:00]" c="17/12/19"/>
        <s v="[Winter daily sitreps].[Date].&amp;[2019-12-18T00:00:00]" c="18/12/19"/>
        <s v="[Winter daily sitreps].[Date].&amp;[2019-12-19T00:00:00]" c="19/12/19"/>
        <s v="[Winter daily sitreps].[Date].&amp;[2019-12-20T00:00:00]" c="20/12/19"/>
        <s v="[Winter daily sitreps].[Date].&amp;[2019-12-21T00:00:00]" c="21/12/19"/>
        <s v="[Winter daily sitreps].[Date].&amp;[2019-12-22T00:00:00]" c="22/12/19"/>
        <s v="[Winter daily sitreps].[Date].&amp;[2019-12-23T00:00:00]" c="23/12/19"/>
        <s v="[Winter daily sitreps].[Date].&amp;[2019-12-24T00:00:00]" c="24/12/19"/>
        <s v="[Winter daily sitreps].[Date].&amp;[2019-12-25T00:00:00]" c="25/12/19"/>
        <s v="[Winter daily sitreps].[Date].&amp;[2019-12-26T00:00:00]" c="26/12/19"/>
        <s v="[Winter daily sitreps].[Date].&amp;[2019-12-27T00:00:00]" c="27/12/19"/>
        <s v="[Winter daily sitreps].[Date].&amp;[2019-12-28T00:00:00]" c="28/12/19"/>
        <s v="[Winter daily sitreps].[Date].&amp;[2019-12-29T00:00:00]" c="29/12/19"/>
        <s v="[Winter daily sitreps].[Date].&amp;[2019-12-30T00:00:00]" c="30/12/19"/>
        <s v="[Winter daily sitreps].[Date].&amp;[2019-12-31T00:00:00]" c="31/12/19"/>
        <s v="[Winter daily sitreps].[Date].&amp;[2020-01-01T00:00:00]" c="01/01/20"/>
        <s v="[Winter daily sitreps].[Date].&amp;[2020-01-02T00:00:00]" c="02/01/20"/>
        <s v="[Winter daily sitreps].[Date].&amp;[2020-01-03T00:00:00]" c="03/01/20"/>
        <s v="[Winter daily sitreps].[Date].&amp;[2020-01-04T00:00:00]" c="04/01/20"/>
        <s v="[Winter daily sitreps].[Date].&amp;[2020-01-05T00:00:00]" c="05/01/20"/>
        <s v="[Winter daily sitreps].[Date].&amp;[2020-01-06T00:00:00]" c="06/01/20"/>
        <s v="[Winter daily sitreps].[Date].&amp;[2020-01-07T00:00:00]" c="07/01/20"/>
        <s v="[Winter daily sitreps].[Date].&amp;[2020-01-08T00:00:00]" c="08/01/20"/>
        <s v="[Winter daily sitreps].[Date].&amp;[2020-01-09T00:00:00]" c="09/01/20"/>
        <s v="[Winter daily sitreps].[Date].&amp;[2020-01-10T00:00:00]" c="10/01/20"/>
        <s v="[Winter daily sitreps].[Date].&amp;[2020-01-11T00:00:00]" c="11/01/20"/>
        <s v="[Winter daily sitreps].[Date].&amp;[2020-01-12T00:00:00]" c="12/01/20"/>
        <s v="[Winter daily sitreps].[Date].&amp;[2020-01-13T00:00:00]" c="13/01/20"/>
        <s v="[Winter daily sitreps].[Date].&amp;[2020-01-14T00:00:00]" c="14/01/20"/>
        <s v="[Winter daily sitreps].[Date].&amp;[2020-01-15T00:00:00]" c="15/01/20"/>
        <s v="[Winter daily sitreps].[Date].&amp;[2020-01-16T00:00:00]" c="16/01/20"/>
        <s v="[Winter daily sitreps].[Date].&amp;[2020-01-17T00:00:00]" c="17/01/20"/>
        <s v="[Winter daily sitreps].[Date].&amp;[2020-01-18T00:00:00]" c="18/01/20"/>
        <s v="[Winter daily sitreps].[Date].&amp;[2020-01-19T00:00:00]" c="19/01/20"/>
        <s v="[Winter daily sitreps].[Date].&amp;[2020-01-20T00:00:00]" c="20/01/20"/>
        <s v="[Winter daily sitreps].[Date].&amp;[2020-01-21T00:00:00]" c="21/01/20"/>
        <s v="[Winter daily sitreps].[Date].&amp;[2020-01-22T00:00:00]" c="22/01/20"/>
        <s v="[Winter daily sitreps].[Date].&amp;[2020-01-23T00:00:00]" c="23/01/20"/>
        <s v="[Winter daily sitreps].[Date].&amp;[2020-01-24T00:00:00]" c="24/01/20"/>
        <s v="[Winter daily sitreps].[Date].&amp;[2020-01-25T00:00:00]" c="25/01/20"/>
        <s v="[Winter daily sitreps].[Date].&amp;[2020-01-26T00:00:00]" c="26/01/20"/>
        <s v="[Winter daily sitreps].[Date].&amp;[2020-01-27T00:00:00]" c="27/01/20"/>
        <s v="[Winter daily sitreps].[Date].&amp;[2020-01-28T00:00:00]" c="28/01/20"/>
        <s v="[Winter daily sitreps].[Date].&amp;[2020-01-29T00:00:00]" c="29/01/20"/>
        <s v="[Winter daily sitreps].[Date].&amp;[2020-01-30T00:00:00]" c="30/01/20"/>
        <s v="[Winter daily sitreps].[Date].&amp;[2020-01-31T00:00:00]" c="31/01/20"/>
        <s v="[Winter daily sitreps].[Date].&amp;[2020-02-01T00:00:00]" c="01/02/20"/>
        <s v="[Winter daily sitreps].[Date].&amp;[2020-02-02T00:00:00]" c="02/02/20"/>
        <s v="[Winter daily sitreps].[Date].&amp;[2020-02-03T00:00:00]" c="03/02/20"/>
        <s v="[Winter daily sitreps].[Date].&amp;[2020-02-04T00:00:00]" c="04/02/20"/>
        <s v="[Winter daily sitreps].[Date].&amp;[2020-02-05T00:00:00]" c="05/02/20"/>
        <s v="[Winter daily sitreps].[Date].&amp;[2020-02-06T00:00:00]" c="06/02/20"/>
        <s v="[Winter daily sitreps].[Date].&amp;[2020-02-07T00:00:00]" c="07/02/20"/>
        <s v="[Winter daily sitreps].[Date].&amp;[2020-02-08T00:00:00]" c="08/02/20"/>
        <s v="[Winter daily sitreps].[Date].&amp;[2020-02-09T00:00:00]" c="09/02/20"/>
        <s v="[Winter daily sitreps].[Date].&amp;[2020-02-10T00:00:00]" c="10/02/20"/>
        <s v="[Winter daily sitreps].[Date].&amp;[2020-02-11T00:00:00]" c="11/02/20"/>
        <s v="[Winter daily sitreps].[Date].&amp;[2020-02-12T00:00:00]" c="12/02/20"/>
        <s v="[Winter daily sitreps].[Date].&amp;[2020-02-13T00:00:00]" c="13/02/20"/>
        <s v="[Winter daily sitreps].[Date].&amp;[2020-02-14T00:00:00]" c="14/02/20"/>
        <s v="[Winter daily sitreps].[Date].&amp;[2020-02-15T00:00:00]" c="15/02/20"/>
        <s v="[Winter daily sitreps].[Date].&amp;[2020-02-16T00:00:00]" c="16/02/20"/>
        <s v="[Winter daily sitreps].[Date].&amp;[2020-02-17T00:00:00]" c="17/02/20"/>
        <s v="[Winter daily sitreps].[Date].&amp;[2020-02-18T00:00:00]" c="18/02/20"/>
        <s v="[Winter daily sitreps].[Date].&amp;[2020-02-19T00:00:00]" c="19/02/20"/>
        <s v="[Winter daily sitreps].[Date].&amp;[2020-02-20T00:00:00]" c="20/02/20"/>
        <s v="[Winter daily sitreps].[Date].&amp;[2020-02-21T00:00:00]" c="21/02/20"/>
        <s v="[Winter daily sitreps].[Date].&amp;[2020-02-22T00:00:00]" c="22/02/20"/>
        <s v="[Winter daily sitreps].[Date].&amp;[2020-02-23T00:00:00]" c="23/02/20"/>
        <s v="[Winter daily sitreps].[Date].&amp;[2020-02-24T00:00:00]" c="24/02/20"/>
        <s v="[Winter daily sitreps].[Date].&amp;[2020-02-25T00:00:00]" c="25/02/20"/>
        <s v="[Winter daily sitreps].[Date].&amp;[2020-02-26T00:00:00]" c="26/02/20"/>
        <s v="[Winter daily sitreps].[Date].&amp;[2020-02-27T00:00:00]" c="27/02/20"/>
        <s v="[Winter daily sitreps].[Date].&amp;[2020-02-28T00:00:00]" c="28/02/20"/>
        <s v="[Winter daily sitreps].[Date].&amp;[2020-02-29T00:00:00]" c="29/02/20"/>
        <s v="[Winter daily sitreps].[Date].&amp;[2020-03-01T00:00:00]" c="01/03/20"/>
      </sharedItems>
    </cacheField>
    <cacheField name="[Measures].[Sum of Beds closed norovius unocc]" caption="Sum of Beds closed norovius unocc" numFmtId="0" hierarchy="75" level="32767"/>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saveData="0" refreshedBy="Jake Lashbrook Admin" refreshedDate="43895.507054513888" createdVersion="4" refreshedVersion="4" minRefreshableVersion="3" recordCount="0" supportSubquery="1" supportAdvancedDrill="1">
  <cacheSource type="external" connectionId="1"/>
  <cacheFields count="4">
    <cacheField name="[Winter daily sitreps].[Year].[Year]" caption="Year" numFmtId="0" hierarchy="70" level="1">
      <sharedItems containsSemiMixedTypes="0" containsString="0"/>
    </cacheField>
    <cacheField name="[Winter daily sitreps].[Week].[Week]" caption="Week" numFmtId="0" hierarchy="67" level="1">
      <sharedItems count="13">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haredItems>
    </cacheField>
    <cacheField name="[Measures].[Sum of Adult CC beds avail]" caption="Sum of Adult CC beds avail" numFmtId="0" hierarchy="77" level="32767"/>
    <cacheField name="[Measures].[Sum of Adult CC beds occ]" caption="Sum of Adult CC beds occ" numFmtId="0" hierarchy="78" level="32767"/>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saveData="0" refreshedBy="Jake Lashbrook Admin" refreshedDate="43895.507056712966" createdVersion="4" refreshedVersion="4" minRefreshableVersion="3" recordCount="0" supportSubquery="1" supportAdvancedDrill="1">
  <cacheSource type="external" connectionId="1"/>
  <cacheFields count="4">
    <cacheField name="[Winter daily sitreps].[Year].[Year]" caption="Year" numFmtId="0" hierarchy="70" level="1">
      <sharedItems containsSemiMixedTypes="0" containsString="0"/>
    </cacheField>
    <cacheField name="[Winter daily sitreps].[Week].[Week]" caption="Week" numFmtId="0" hierarchy="67" level="1">
      <sharedItems count="13">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haredItems>
    </cacheField>
    <cacheField name="[Measures].[Sum of Adult CC beds avail]" caption="Sum of Adult CC beds avail" numFmtId="0" hierarchy="77" level="32767"/>
    <cacheField name="[Measures].[Sum of Adult CC beds occ]" caption="Sum of Adult CC beds occ" numFmtId="0" hierarchy="78" level="32767"/>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saveData="0" refreshedBy="Jake Lashbrook Admin" refreshedDate="43895.507060069445" createdVersion="4" refreshedVersion="4" minRefreshableVersion="3" recordCount="0" supportSubquery="1" supportAdvancedDrill="1">
  <cacheSource type="external" connectionId="1"/>
  <cacheFields count="4">
    <cacheField name="[Winter daily sitreps].[Year].[Year]" caption="Year" numFmtId="0" hierarchy="70" level="1">
      <sharedItems containsSemiMixedTypes="0" containsString="0"/>
    </cacheField>
    <cacheField name="[Winter daily sitreps].[Week].[Week]" caption="Week" numFmtId="0" hierarchy="67" level="1">
      <sharedItems count="13">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haredItems>
    </cacheField>
    <cacheField name="[Measures].[Sum of Paed Int Care Avail]" caption="Sum of Paed Int Care Avail" numFmtId="0" hierarchy="79" level="32767"/>
    <cacheField name="[Measures].[Sum of Paed Int Care Occ]" caption="Sum of Paed Int Care Occ" numFmtId="0" hierarchy="80" level="32767"/>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saveData="0" refreshedBy="Jake Lashbrook Admin" refreshedDate="43895.507062500001" createdVersion="4" refreshedVersion="4" minRefreshableVersion="3" recordCount="0" supportSubquery="1" supportAdvancedDrill="1">
  <cacheSource type="external" connectionId="1"/>
  <cacheFields count="4">
    <cacheField name="[Winter daily sitreps].[Year].[Year]" caption="Year" numFmtId="0" hierarchy="70" level="1">
      <sharedItems containsSemiMixedTypes="0" containsString="0"/>
    </cacheField>
    <cacheField name="[Winter daily sitreps].[Week].[Week]" caption="Week" numFmtId="0" hierarchy="67" level="1">
      <sharedItems count="13">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haredItems>
    </cacheField>
    <cacheField name="[Measures].[Sum of Paed Int Care Avail]" caption="Sum of Paed Int Care Avail" numFmtId="0" hierarchy="79" level="32767"/>
    <cacheField name="[Measures].[Sum of Paed Int Care Occ]" caption="Sum of Paed Int Care Occ" numFmtId="0" hierarchy="80" level="32767"/>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saveData="0" refreshedBy="Jake Lashbrook Admin" refreshedDate="43895.507065046295" createdVersion="4" refreshedVersion="4" minRefreshableVersion="3" recordCount="0" supportSubquery="1" supportAdvancedDrill="1">
  <cacheSource type="external" connectionId="1"/>
  <cacheFields count="4">
    <cacheField name="[Winter daily sitreps].[Year].[Year]" caption="Year" numFmtId="0" hierarchy="70" level="1">
      <sharedItems containsSemiMixedTypes="0" containsString="0"/>
    </cacheField>
    <cacheField name="[Winter daily sitreps].[Week].[Week]" caption="Week" numFmtId="0" hierarchy="67" level="1">
      <sharedItems count="13">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haredItems>
    </cacheField>
    <cacheField name="[Measures].[Sum of Neo Int Care Avail]" caption="Sum of Neo Int Care Avail" numFmtId="0" hierarchy="81" level="32767"/>
    <cacheField name="[Measures].[Sum of Neo Int Care occ]" caption="Sum of Neo Int Care occ" numFmtId="0" hierarchy="82" level="32767"/>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saveData="0" refreshedBy="Jake Lashbrook Admin" refreshedDate="43895.507067129627" createdVersion="4" refreshedVersion="4" minRefreshableVersion="3" recordCount="0" supportSubquery="1" supportAdvancedDrill="1">
  <cacheSource type="external" connectionId="1"/>
  <cacheFields count="4">
    <cacheField name="[Winter daily sitreps].[Year].[Year]" caption="Year" numFmtId="0" hierarchy="70" level="1">
      <sharedItems containsSemiMixedTypes="0" containsString="0"/>
    </cacheField>
    <cacheField name="[Winter daily sitreps].[Week].[Week]" caption="Week" numFmtId="0" hierarchy="67" level="1">
      <sharedItems count="13">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haredItems>
    </cacheField>
    <cacheField name="[Measures].[Sum of Neo Int Care Avail]" caption="Sum of Neo Int Care Avail" numFmtId="0" hierarchy="81" level="32767"/>
    <cacheField name="[Measures].[Sum of Neo Int Care occ]" caption="Sum of Neo Int Care occ" numFmtId="0" hierarchy="82" level="32767"/>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Jake Lashbrook Admin" refreshedDate="43895.506967476853" createdVersion="4" refreshedVersion="4" minRefreshableVersion="3" recordCount="0" supportSubquery="1" supportAdvancedDrill="1">
  <cacheSource type="external" connectionId="1"/>
  <cacheFields count="6">
    <cacheField name="[Winter daily sitreps].[Year].[Year]" caption="Year" numFmtId="0" hierarchy="70" level="1">
      <sharedItems containsSemiMixedTypes="0" containsString="0"/>
    </cacheField>
    <cacheField name="[Measures].[Sum of GA core beds avail]" caption="Sum of GA core beds avail" numFmtId="0" hierarchy="84" level="32767"/>
    <cacheField name="[Measures].[Sum of GA escalation beds avail]" caption="Sum of GA escalation beds avail" numFmtId="0" hierarchy="85" level="32767"/>
    <cacheField name="[Winter daily sitreps].[Region].[Region]" caption="Region" numFmtId="0" hierarchy="66" level="1">
      <sharedItems count="7">
        <s v="[Winter daily sitreps].[Region].&amp;[East Of England]" c="East Of England"/>
        <s v="[Winter daily sitreps].[Region].&amp;[London]" c="London"/>
        <s v="[Winter daily sitreps].[Region].&amp;[Midlands]" c="Midlands"/>
        <s v="[Winter daily sitreps].[Region].&amp;[North East and Yorkshire]" c="North East and Yorkshire"/>
        <s v="[Winter daily sitreps].[Region].&amp;[North West Of England]" c="North West Of England"/>
        <s v="[Winter daily sitreps].[Region].&amp;[South East of England]" c="South East of England"/>
        <s v="[Winter daily sitreps].[Region].&amp;[South West of England]" c="South West of England"/>
      </sharedItems>
    </cacheField>
    <cacheField name="[Measures].[Sum of GA total beds avail]" caption="Sum of GA total beds avail" numFmtId="0" hierarchy="72" level="32767"/>
    <cacheField name="[Winter daily sitreps].[Week long].[Week long]" caption="Week long" numFmtId="0" hierarchy="6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5"/>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Jake Lashbrook Admin" refreshedDate="43895.506970254632" createdVersion="4" refreshedVersion="4" minRefreshableVersion="3" recordCount="0" supportSubquery="1" supportAdvancedDrill="1">
  <cacheSource type="external" connectionId="1"/>
  <cacheFields count="5">
    <cacheField name="[Winter daily sitreps].[Year].[Year]" caption="Year" numFmtId="0" hierarchy="70" level="1">
      <sharedItems containsSemiMixedTypes="0" containsString="0"/>
    </cacheField>
    <cacheField name="[Measures].[Sum of GA total beds avail]" caption="Sum of GA total beds avail" numFmtId="0" hierarchy="72" level="32767"/>
    <cacheField name="[Measures].[Sum of GA total beds occupied]" caption="Sum of GA total beds occupied" numFmtId="0" hierarchy="91" level="32767"/>
    <cacheField name="[Winter daily sitreps].[Region].[Region]" caption="Region" numFmtId="0" hierarchy="66" level="1">
      <sharedItems count="7">
        <s v="[Winter daily sitreps].[Region].&amp;[East Of England]" c="East Of England"/>
        <s v="[Winter daily sitreps].[Region].&amp;[London]" c="London"/>
        <s v="[Winter daily sitreps].[Region].&amp;[Midlands]" c="Midlands"/>
        <s v="[Winter daily sitreps].[Region].&amp;[North East and Yorkshire]" c="North East and Yorkshire"/>
        <s v="[Winter daily sitreps].[Region].&amp;[North West Of England]" c="North West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4"/>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Jake Lashbrook Admin" refreshedDate="43895.506972800926" createdVersion="4" refreshedVersion="4" minRefreshableVersion="3" recordCount="0" supportSubquery="1" supportAdvancedDrill="1">
  <cacheSource type="external" connectionId="1"/>
  <cacheFields count="4">
    <cacheField name="[Winter daily sitreps].[Year].[Year]" caption="Year" numFmtId="0" hierarchy="70" level="1">
      <sharedItems containsSemiMixedTypes="0" containsString="0"/>
    </cacheField>
    <cacheField name="[Winter daily sitreps].[Region].[Region]" caption="Region" numFmtId="0" hierarchy="66" level="1">
      <sharedItems count="7">
        <s v="[Winter daily sitreps].[Region].&amp;[East Of England]" c="East Of England"/>
        <s v="[Winter daily sitreps].[Region].&amp;[London]" c="London"/>
        <s v="[Winter daily sitreps].[Region].&amp;[Midlands]" c="Midlands"/>
        <s v="[Winter daily sitreps].[Region].&amp;[North East and Yorkshire]" c="North East and Yorkshire"/>
        <s v="[Winter daily sitreps].[Region].&amp;[North West Of England]" c="North West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Beds occ over 7 days]" caption="Sum of Beds occ over 7 days" numFmtId="0" hierarchy="73" level="32767"/>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Jake Lashbrook Admin" refreshedDate="43895.506975694443" createdVersion="4" refreshedVersion="4" minRefreshableVersion="3" recordCount="0" supportSubquery="1" supportAdvancedDrill="1">
  <cacheSource type="external" connectionId="1"/>
  <cacheFields count="4">
    <cacheField name="[Winter daily sitreps].[Year].[Year]" caption="Year" numFmtId="0" hierarchy="70" level="1">
      <sharedItems containsSemiMixedTypes="0" containsString="0"/>
    </cacheField>
    <cacheField name="[Winter daily sitreps].[Region].[Region]" caption="Region" numFmtId="0" hierarchy="66" level="1">
      <sharedItems count="7">
        <s v="[Winter daily sitreps].[Region].&amp;[East Of England]" c="East Of England"/>
        <s v="[Winter daily sitreps].[Region].&amp;[London]" c="London"/>
        <s v="[Winter daily sitreps].[Region].&amp;[Midlands]" c="Midlands"/>
        <s v="[Winter daily sitreps].[Region].&amp;[North East and Yorkshire]" c="North East and Yorkshire"/>
        <s v="[Winter daily sitreps].[Region].&amp;[North West Of England]" c="North West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Beds occ over 21 days]" caption="Sum of Beds occ over 21 days" numFmtId="0" hierarchy="93" level="32767"/>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oneField="1" hidden="1">
      <fieldsUsage count="1">
        <fieldUsage x="3"/>
      </fieldsUsage>
    </cacheHierarchy>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Jake Lashbrook Admin" refreshedDate="43895.506979398146" createdVersion="4" refreshedVersion="4" minRefreshableVersion="3" recordCount="0" supportSubquery="1" supportAdvancedDrill="1">
  <cacheSource type="external" connectionId="1"/>
  <cacheFields count="4">
    <cacheField name="[Measures].[Sum of Beds occ over 14 days 2]" caption="Sum of Beds occ over 14 days 2" numFmtId="0" hierarchy="87" level="32767"/>
    <cacheField name="[Winter daily sitreps].[Year].[Year]" caption="Year" numFmtId="0" hierarchy="70" level="1">
      <sharedItems containsSemiMixedTypes="0" containsString="0"/>
    </cacheField>
    <cacheField name="[Winter daily sitreps].[Region].[Region]" caption="Region" numFmtId="0" hierarchy="66" level="1">
      <sharedItems count="7">
        <s v="[Winter daily sitreps].[Region].&amp;[East Of England]" c="East Of England"/>
        <s v="[Winter daily sitreps].[Region].&amp;[London]" c="London"/>
        <s v="[Winter daily sitreps].[Region].&amp;[Midlands]" c="Midlands"/>
        <s v="[Winter daily sitreps].[Region].&amp;[North East and Yorkshire]" c="North East and Yorkshire"/>
        <s v="[Winter daily sitreps].[Region].&amp;[North West Of England]" c="North West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oneField="1">
      <fieldsUsage count="1">
        <fieldUsage x="0"/>
      </fieldsUsage>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Jake Lashbrook Admin" refreshedDate="43895.506983217594" createdVersion="4" refreshedVersion="4" minRefreshableVersion="3" recordCount="0" supportSubquery="1" supportAdvancedDrill="1">
  <cacheSource type="external" connectionId="1"/>
  <cacheFields count="4">
    <cacheField name="[Winter daily sitreps].[Year].[Year]" caption="Year" numFmtId="0" hierarchy="70" level="1">
      <sharedItems containsSemiMixedTypes="0" containsString="0"/>
    </cacheField>
    <cacheField name="[Measures].[Sum of Beds closed norovirus]" caption="Sum of Beds closed norovirus" numFmtId="0" hierarchy="74" level="32767"/>
    <cacheField name="[Winter daily sitreps].[Week long].[Week long]" caption="Week long" numFmtId="0" hierarchy="6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6" level="1">
      <sharedItems count="7">
        <s v="[Winter daily sitreps].[Region].&amp;[East Of England]" c="East Of England"/>
        <s v="[Winter daily sitreps].[Region].&amp;[London]" c="London"/>
        <s v="[Winter daily sitreps].[Region].&amp;[Midlands]" c="Midlands"/>
        <s v="[Winter daily sitreps].[Region].&amp;[North East and Yorkshire]" c="North East and Yorkshire"/>
        <s v="[Winter daily sitreps].[Region].&amp;[North West Of England]" c="North West Of England"/>
        <s v="[Winter daily sitreps].[Region].&amp;[South East of England]" c="South East of England"/>
        <s v="[Winter daily sitreps].[Region].&amp;[South West of England]" c="South West of England"/>
      </sharedItems>
    </cacheField>
  </cacheFields>
  <cacheHierarchies count="101">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7 days]" caption="Sum of Beds occ over 7 days"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Sum of Beds occ over 14 days 2]" caption="Sum of Beds occ over 14 days 2" measure="1" displayFolder="" measureGroup="Winter daily sitrep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pivotTable1.xml><?xml version="1.0" encoding="utf-8"?>
<pivotTableDefinition xmlns="http://schemas.openxmlformats.org/spreadsheetml/2006/main" name="PivotTable6" cacheId="275" applyNumberFormats="0" applyBorderFormats="0" applyFontFormats="0" applyPatternFormats="0" applyAlignmentFormats="0" applyWidthHeightFormats="1" dataCaption="Values" tag="70907dcb-9db8-4617-8784-43e18385953c" updatedVersion="4" minRefreshableVersion="3" useAutoFormatting="1" subtotalHiddenItems="1" rowGrandTotals="0" colGrandTotals="0" itemPrintTitles="1" createdVersion="4" indent="0" outline="1" outlineData="1" multipleFieldFilters="0" fieldListSortAscending="1">
  <location ref="AF5:AG96"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s>
  <rowFields count="1">
    <field x="2"/>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Items count="1">
    <i/>
  </colItems>
  <pageFields count="1">
    <pageField fld="1" hier="70" name="[Winter daily sitreps].[Year].&amp;[2019/20]" cap="2019/20"/>
  </pageFields>
  <dataFields count="1">
    <dataField name="Sum of AE diverts" fld="0"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0.xml><?xml version="1.0" encoding="utf-8"?>
<pivotTableDefinition xmlns="http://schemas.openxmlformats.org/spreadsheetml/2006/main" name="PivotTable16" cacheId="280" applyNumberFormats="0" applyBorderFormats="0" applyFontFormats="0" applyPatternFormats="0" applyAlignmentFormats="0" applyWidthHeightFormats="1" dataCaption="Values" tag="75108420-684c-4036-bdfe-dfd1f973e47b" updatedVersion="4" minRefreshableVersion="3" useAutoFormatting="1" subtotalHiddenItems="1" colGrandTotals="0" itemPrintTitles="1" createdVersion="4" indent="0" outline="1" outlineData="1" multipleFieldFilters="0" fieldListSortAscending="1">
  <location ref="AL5:EL140"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t="default"/>
      </items>
    </pivotField>
    <pivotField axis="axisCol" allDrilled="1" showAll="0" dataSourceSort="1" defaultAttributeDrillState="1">
      <items count="8">
        <item x="0"/>
        <item x="1"/>
        <item x="2"/>
        <item x="3"/>
        <item x="4"/>
        <item x="5"/>
        <item x="6"/>
        <item t="default"/>
      </items>
    </pivotField>
    <pivotField axis="axisCol" allDrilled="1" showAll="0" defaultAttributeDrillState="1">
      <items count="14">
        <item x="0"/>
        <item x="5"/>
        <item x="6"/>
        <item x="7"/>
        <item x="8"/>
        <item x="9"/>
        <item x="10"/>
        <item x="11"/>
        <item x="12"/>
        <item x="1"/>
        <item x="2"/>
        <item x="3"/>
        <item x="4"/>
        <item t="default"/>
      </items>
    </pivotField>
    <pivotField dataField="1" showAll="0"/>
  </pivotFields>
  <rowFields count="1">
    <field x="1"/>
  </rowFields>
  <rowItems count="1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t="grand">
      <x/>
    </i>
  </rowItems>
  <colFields count="2">
    <field x="3"/>
    <field x="2"/>
  </colFields>
  <colItems count="104">
    <i>
      <x/>
      <x/>
    </i>
    <i r="1">
      <x v="1"/>
    </i>
    <i r="1">
      <x v="2"/>
    </i>
    <i r="1">
      <x v="3"/>
    </i>
    <i r="1">
      <x v="4"/>
    </i>
    <i r="1">
      <x v="5"/>
    </i>
    <i r="1">
      <x v="6"/>
    </i>
    <i t="default">
      <x/>
    </i>
    <i>
      <x v="1"/>
      <x/>
    </i>
    <i r="1">
      <x v="1"/>
    </i>
    <i r="1">
      <x v="2"/>
    </i>
    <i r="1">
      <x v="3"/>
    </i>
    <i r="1">
      <x v="4"/>
    </i>
    <i r="1">
      <x v="5"/>
    </i>
    <i r="1">
      <x v="6"/>
    </i>
    <i t="default">
      <x v="1"/>
    </i>
    <i>
      <x v="2"/>
      <x/>
    </i>
    <i r="1">
      <x v="1"/>
    </i>
    <i r="1">
      <x v="2"/>
    </i>
    <i r="1">
      <x v="3"/>
    </i>
    <i r="1">
      <x v="4"/>
    </i>
    <i r="1">
      <x v="5"/>
    </i>
    <i r="1">
      <x v="6"/>
    </i>
    <i t="default">
      <x v="2"/>
    </i>
    <i>
      <x v="3"/>
      <x/>
    </i>
    <i r="1">
      <x v="1"/>
    </i>
    <i r="1">
      <x v="2"/>
    </i>
    <i r="1">
      <x v="3"/>
    </i>
    <i r="1">
      <x v="4"/>
    </i>
    <i r="1">
      <x v="5"/>
    </i>
    <i r="1">
      <x v="6"/>
    </i>
    <i t="default">
      <x v="3"/>
    </i>
    <i>
      <x v="4"/>
      <x/>
    </i>
    <i r="1">
      <x v="1"/>
    </i>
    <i r="1">
      <x v="2"/>
    </i>
    <i r="1">
      <x v="3"/>
    </i>
    <i r="1">
      <x v="4"/>
    </i>
    <i r="1">
      <x v="5"/>
    </i>
    <i r="1">
      <x v="6"/>
    </i>
    <i t="default">
      <x v="4"/>
    </i>
    <i>
      <x v="5"/>
      <x/>
    </i>
    <i r="1">
      <x v="1"/>
    </i>
    <i r="1">
      <x v="2"/>
    </i>
    <i r="1">
      <x v="3"/>
    </i>
    <i r="1">
      <x v="4"/>
    </i>
    <i r="1">
      <x v="5"/>
    </i>
    <i r="1">
      <x v="6"/>
    </i>
    <i t="default">
      <x v="5"/>
    </i>
    <i>
      <x v="6"/>
      <x/>
    </i>
    <i r="1">
      <x v="1"/>
    </i>
    <i r="1">
      <x v="2"/>
    </i>
    <i r="1">
      <x v="3"/>
    </i>
    <i r="1">
      <x v="4"/>
    </i>
    <i r="1">
      <x v="5"/>
    </i>
    <i r="1">
      <x v="6"/>
    </i>
    <i t="default">
      <x v="6"/>
    </i>
    <i>
      <x v="7"/>
      <x/>
    </i>
    <i r="1">
      <x v="1"/>
    </i>
    <i r="1">
      <x v="2"/>
    </i>
    <i r="1">
      <x v="3"/>
    </i>
    <i r="1">
      <x v="4"/>
    </i>
    <i r="1">
      <x v="5"/>
    </i>
    <i r="1">
      <x v="6"/>
    </i>
    <i t="default">
      <x v="7"/>
    </i>
    <i>
      <x v="8"/>
      <x/>
    </i>
    <i r="1">
      <x v="1"/>
    </i>
    <i r="1">
      <x v="2"/>
    </i>
    <i r="1">
      <x v="3"/>
    </i>
    <i r="1">
      <x v="4"/>
    </i>
    <i r="1">
      <x v="5"/>
    </i>
    <i r="1">
      <x v="6"/>
    </i>
    <i t="default">
      <x v="8"/>
    </i>
    <i>
      <x v="9"/>
      <x/>
    </i>
    <i r="1">
      <x v="1"/>
    </i>
    <i r="1">
      <x v="2"/>
    </i>
    <i r="1">
      <x v="3"/>
    </i>
    <i r="1">
      <x v="4"/>
    </i>
    <i r="1">
      <x v="5"/>
    </i>
    <i r="1">
      <x v="6"/>
    </i>
    <i t="default">
      <x v="9"/>
    </i>
    <i>
      <x v="10"/>
      <x/>
    </i>
    <i r="1">
      <x v="1"/>
    </i>
    <i r="1">
      <x v="2"/>
    </i>
    <i r="1">
      <x v="3"/>
    </i>
    <i r="1">
      <x v="4"/>
    </i>
    <i r="1">
      <x v="5"/>
    </i>
    <i r="1">
      <x v="6"/>
    </i>
    <i t="default">
      <x v="10"/>
    </i>
    <i>
      <x v="11"/>
      <x/>
    </i>
    <i r="1">
      <x v="1"/>
    </i>
    <i r="1">
      <x v="2"/>
    </i>
    <i r="1">
      <x v="3"/>
    </i>
    <i r="1">
      <x v="4"/>
    </i>
    <i r="1">
      <x v="5"/>
    </i>
    <i r="1">
      <x v="6"/>
    </i>
    <i t="default">
      <x v="11"/>
    </i>
    <i>
      <x v="12"/>
      <x/>
    </i>
    <i r="1">
      <x v="1"/>
    </i>
    <i r="1">
      <x v="2"/>
    </i>
    <i r="1">
      <x v="3"/>
    </i>
    <i r="1">
      <x v="4"/>
    </i>
    <i r="1">
      <x v="5"/>
    </i>
    <i r="1">
      <x v="6"/>
    </i>
    <i t="default">
      <x v="12"/>
    </i>
  </colItems>
  <pageFields count="1">
    <pageField fld="0" hier="70" name="[Winter daily sitreps].[Year].&amp;[2019/20]" cap="2019/20"/>
  </pageFields>
  <dataFields count="1">
    <dataField name="Average of GA bed occupancy" fld="4" baseField="1" baseItem="6" numFmtId="164"/>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erage of GA bed occupanc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GA bed occupancy"/>
  </pivotHierarchies>
  <pivotTableStyleInfo name="PivotStyleLight16" showRowHeaders="1" showColHeaders="1" showRowStripes="0" showColStripes="0" showLastColumn="1"/>
  <rowHierarchiesUsage count="1">
    <rowHierarchyUsage hierarchyUsage="59"/>
  </rowHierarchiesUsage>
  <colHierarchiesUsage count="2">
    <colHierarchyUsage hierarchyUsage="68"/>
    <colHierarchyUsage hierarchyUsage="50"/>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1.xml><?xml version="1.0" encoding="utf-8"?>
<pivotTableDefinition xmlns="http://schemas.openxmlformats.org/spreadsheetml/2006/main" name="PivotTable15" cacheId="260" applyNumberFormats="0" applyBorderFormats="0" applyFontFormats="0" applyPatternFormats="0" applyAlignmentFormats="0" applyWidthHeightFormats="1" dataCaption="Values" tag="a352aa7b-46c6-4630-a505-e65dd965d25a" updatedVersion="4" minRefreshableVersion="3" useAutoFormatting="1" subtotalHiddenItems="1" itemPrintTitles="1" createdVersion="4" indent="0" outline="1" outlineData="1" multipleFieldFilters="0" fieldListSortAscending="1">
  <location ref="I5:Y21"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8">
        <item x="0"/>
        <item x="1"/>
        <item x="2"/>
        <item x="3"/>
        <item x="4"/>
        <item x="5"/>
        <item x="6"/>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s>
  <rowFields count="1">
    <field x="4"/>
  </rowFields>
  <rowItems count="14">
    <i>
      <x/>
    </i>
    <i>
      <x v="1"/>
    </i>
    <i>
      <x v="2"/>
    </i>
    <i>
      <x v="3"/>
    </i>
    <i>
      <x v="4"/>
    </i>
    <i>
      <x v="5"/>
    </i>
    <i>
      <x v="6"/>
    </i>
    <i>
      <x v="7"/>
    </i>
    <i>
      <x v="8"/>
    </i>
    <i>
      <x v="9"/>
    </i>
    <i>
      <x v="10"/>
    </i>
    <i>
      <x v="11"/>
    </i>
    <i>
      <x v="12"/>
    </i>
    <i t="grand">
      <x/>
    </i>
  </rowItems>
  <colFields count="2">
    <field x="3"/>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0" hier="70" name="[Winter daily sitreps].[Year].&amp;[2019/20]" cap="2019/20"/>
  </pageFields>
  <dataFields count="2">
    <dataField name="Available" fld="1" baseField="0" baseItem="0"/>
    <dataField name="Occupied" fld="2"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2">
    <colHierarchyUsage hierarchyUsage="6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2.xml><?xml version="1.0" encoding="utf-8"?>
<pivotTableDefinition xmlns="http://schemas.openxmlformats.org/spreadsheetml/2006/main" name="PivotTable7" cacheId="263" applyNumberFormats="0" applyBorderFormats="0" applyFontFormats="0" applyPatternFormats="0" applyAlignmentFormats="0" applyWidthHeightFormats="1" dataCaption="Values" tag="9ee8705f-742d-43e2-b9ad-e7b8f313e376" updatedVersion="4" minRefreshableVersion="3" useAutoFormatting="1" subtotalHiddenItems="1" itemPrintTitles="1" createdVersion="4" indent="0" outline="1" outlineData="1" multipleFieldFilters="0" fieldListSortAscending="1">
  <location ref="AQ6:AY21" firstHeaderRow="1" firstDataRow="2" firstDataCol="1" rowPageCount="1" colPageCount="1"/>
  <pivotFields count="4">
    <pivotField dataField="1" showAll="0"/>
    <pivotField axis="axisPage" allDrilled="1" showAll="0" dataSourceSort="1" defaultAttributeDrillState="1">
      <items count="1">
        <item t="default"/>
      </items>
    </pivotField>
    <pivotField axis="axisCol" allDrilled="1" showAll="0" dataSourceSort="1" defaultAttributeDrillState="1">
      <items count="8">
        <item x="0"/>
        <item x="1"/>
        <item x="2"/>
        <item x="3"/>
        <item x="4"/>
        <item x="5"/>
        <item x="6"/>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s>
  <rowFields count="1">
    <field x="3"/>
  </rowFields>
  <rowItems count="14">
    <i>
      <x/>
    </i>
    <i>
      <x v="1"/>
    </i>
    <i>
      <x v="2"/>
    </i>
    <i>
      <x v="3"/>
    </i>
    <i>
      <x v="4"/>
    </i>
    <i>
      <x v="5"/>
    </i>
    <i>
      <x v="6"/>
    </i>
    <i>
      <x v="7"/>
    </i>
    <i>
      <x v="8"/>
    </i>
    <i>
      <x v="9"/>
    </i>
    <i>
      <x v="10"/>
    </i>
    <i>
      <x v="11"/>
    </i>
    <i>
      <x v="12"/>
    </i>
    <i t="grand">
      <x/>
    </i>
  </rowItems>
  <colFields count="1">
    <field x="2"/>
  </colFields>
  <colItems count="8">
    <i>
      <x/>
    </i>
    <i>
      <x v="1"/>
    </i>
    <i>
      <x v="2"/>
    </i>
    <i>
      <x v="3"/>
    </i>
    <i>
      <x v="4"/>
    </i>
    <i>
      <x v="5"/>
    </i>
    <i>
      <x v="6"/>
    </i>
    <i t="grand">
      <x/>
    </i>
  </colItems>
  <pageFields count="1">
    <pageField fld="1" hier="70" name="[Winter daily sitreps].[Year].&amp;[2019/20]" cap="2019/20"/>
  </pageFields>
  <dataFields count="1">
    <dataField name="Sum of Beds occ over 14 days 2" fld="0"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14 days 2"/>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1">
    <colHierarchyUsage hierarchyUsage="6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3.xml><?xml version="1.0" encoding="utf-8"?>
<pivotTableDefinition xmlns="http://schemas.openxmlformats.org/spreadsheetml/2006/main" name="PivotTable3" cacheId="262" applyNumberFormats="0" applyBorderFormats="0" applyFontFormats="0" applyPatternFormats="0" applyAlignmentFormats="0" applyWidthHeightFormats="1" dataCaption="Values" tag="ecb01006-d778-4523-bb61-3a857638a5df" updatedVersion="4" minRefreshableVersion="3" useAutoFormatting="1" subtotalHiddenItems="1" itemPrintTitles="1" createdVersion="4" indent="0" outline="1" outlineData="1" multipleFieldFilters="0" fieldListSortAscending="1">
  <location ref="V5:AD2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8">
        <item x="0"/>
        <item x="1"/>
        <item x="2"/>
        <item x="3"/>
        <item x="4"/>
        <item x="5"/>
        <item x="6"/>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s>
  <rowFields count="1">
    <field x="2"/>
  </rowFields>
  <rowItems count="14">
    <i>
      <x/>
    </i>
    <i>
      <x v="1"/>
    </i>
    <i>
      <x v="2"/>
    </i>
    <i>
      <x v="3"/>
    </i>
    <i>
      <x v="4"/>
    </i>
    <i>
      <x v="5"/>
    </i>
    <i>
      <x v="6"/>
    </i>
    <i>
      <x v="7"/>
    </i>
    <i>
      <x v="8"/>
    </i>
    <i>
      <x v="9"/>
    </i>
    <i>
      <x v="10"/>
    </i>
    <i>
      <x v="11"/>
    </i>
    <i>
      <x v="12"/>
    </i>
    <i t="grand">
      <x/>
    </i>
  </rowItems>
  <colFields count="1">
    <field x="1"/>
  </colFields>
  <colItems count="8">
    <i>
      <x/>
    </i>
    <i>
      <x v="1"/>
    </i>
    <i>
      <x v="2"/>
    </i>
    <i>
      <x v="3"/>
    </i>
    <i>
      <x v="4"/>
    </i>
    <i>
      <x v="5"/>
    </i>
    <i>
      <x v="6"/>
    </i>
    <i t="grand">
      <x/>
    </i>
  </colItems>
  <pageFields count="1">
    <pageField fld="0" hier="70" name="[Winter daily sitreps].[Year].&amp;[2019/20]" cap="2019/20"/>
  </pageFields>
  <dataFields count="1">
    <dataField name="Sum of Beds occ over 21 days" fld="3"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caption="Sum of Beds occ over 7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21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1">
    <colHierarchyUsage hierarchyUsage="6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4.xml><?xml version="1.0" encoding="utf-8"?>
<pivotTableDefinition xmlns="http://schemas.openxmlformats.org/spreadsheetml/2006/main" name="PivotTable2" cacheId="261" applyNumberFormats="0" applyBorderFormats="0" applyFontFormats="0" applyPatternFormats="0" applyAlignmentFormats="0" applyWidthHeightFormats="1" dataCaption="Values" tag="68ce7bb5-b9a1-4618-b6f2-2507f223e533" updatedVersion="4" minRefreshableVersion="3" useAutoFormatting="1" subtotalHiddenItems="1" itemPrintTitles="1" createdVersion="4" indent="0" outline="1" outlineData="1" multipleFieldFilters="0" fieldListSortAscending="1">
  <location ref="B5:J2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8">
        <item x="0"/>
        <item x="1"/>
        <item x="2"/>
        <item x="3"/>
        <item x="4"/>
        <item x="5"/>
        <item x="6"/>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s>
  <rowFields count="1">
    <field x="2"/>
  </rowFields>
  <rowItems count="14">
    <i>
      <x/>
    </i>
    <i>
      <x v="1"/>
    </i>
    <i>
      <x v="2"/>
    </i>
    <i>
      <x v="3"/>
    </i>
    <i>
      <x v="4"/>
    </i>
    <i>
      <x v="5"/>
    </i>
    <i>
      <x v="6"/>
    </i>
    <i>
      <x v="7"/>
    </i>
    <i>
      <x v="8"/>
    </i>
    <i>
      <x v="9"/>
    </i>
    <i>
      <x v="10"/>
    </i>
    <i>
      <x v="11"/>
    </i>
    <i>
      <x v="12"/>
    </i>
    <i t="grand">
      <x/>
    </i>
  </rowItems>
  <colFields count="1">
    <field x="1"/>
  </colFields>
  <colItems count="8">
    <i>
      <x/>
    </i>
    <i>
      <x v="1"/>
    </i>
    <i>
      <x v="2"/>
    </i>
    <i>
      <x v="3"/>
    </i>
    <i>
      <x v="4"/>
    </i>
    <i>
      <x v="5"/>
    </i>
    <i>
      <x v="6"/>
    </i>
    <i t="grand">
      <x/>
    </i>
  </colItems>
  <pageFields count="1">
    <pageField fld="0" hier="70" name="[Winter daily sitreps].[Year].&amp;[2019/20]" cap="2019/20"/>
  </pageFields>
  <dataFields count="1">
    <dataField name="Sum of Beds occ over 7 days" fld="3"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caption="Sum of Beds occ over 7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1">
    <colHierarchyUsage hierarchyUsage="6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5.xml><?xml version="1.0" encoding="utf-8"?>
<pivotTableDefinition xmlns="http://schemas.openxmlformats.org/spreadsheetml/2006/main" name="PivotTable22" cacheId="257" applyNumberFormats="0" applyBorderFormats="0" applyFontFormats="0" applyPatternFormats="0" applyAlignmentFormats="0" applyWidthHeightFormats="1" dataCaption="Values" tag="f6e7f0b5-4ed5-4fba-bac3-7097d79e854c" updatedVersion="4" minRefreshableVersion="3" useAutoFormatting="1" subtotalHiddenItems="1" itemPrintTitles="1" createdVersion="4" indent="0" outline="1" outlineData="1" multipleFieldFilters="0" fieldListSortAscending="1">
  <location ref="BD5:BL20"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 dataField="1" showAll="0"/>
  </pivotFields>
  <rowFields count="1">
    <field x="1"/>
  </rowFields>
  <rowItems count="14">
    <i>
      <x/>
    </i>
    <i>
      <x v="1"/>
    </i>
    <i>
      <x v="2"/>
    </i>
    <i>
      <x v="3"/>
    </i>
    <i>
      <x v="4"/>
    </i>
    <i>
      <x v="5"/>
    </i>
    <i>
      <x v="6"/>
    </i>
    <i>
      <x v="7"/>
    </i>
    <i>
      <x v="8"/>
    </i>
    <i>
      <x v="9"/>
    </i>
    <i>
      <x v="10"/>
    </i>
    <i>
      <x v="11"/>
    </i>
    <i>
      <x v="12"/>
    </i>
    <i t="grand">
      <x/>
    </i>
  </rowItems>
  <colFields count="1">
    <field x="2"/>
  </colFields>
  <colItems count="8">
    <i>
      <x/>
    </i>
    <i>
      <x v="1"/>
    </i>
    <i>
      <x v="2"/>
    </i>
    <i>
      <x v="3"/>
    </i>
    <i>
      <x v="4"/>
    </i>
    <i>
      <x v="5"/>
    </i>
    <i>
      <x v="6"/>
    </i>
    <i t="grand">
      <x/>
    </i>
  </colItems>
  <pageFields count="1">
    <pageField fld="0" hier="70" name="[Winter daily sitreps].[Year].&amp;[2019/20]" cap="2019/20"/>
  </pageFields>
  <dataFields count="1">
    <dataField name="Sum of Beds closed norovius unocc" fld="3"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1">
    <colHierarchyUsage hierarchyUsage="6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6.xml><?xml version="1.0" encoding="utf-8"?>
<pivotTableDefinition xmlns="http://schemas.openxmlformats.org/spreadsheetml/2006/main" name="PivotTable23" cacheId="285" applyNumberFormats="0" applyBorderFormats="0" applyFontFormats="0" applyPatternFormats="0" applyAlignmentFormats="0" applyWidthHeightFormats="1" dataCaption="Values" tag="2d9d57d6-241a-4b7d-8007-23756dbf9354" updatedVersion="4" minRefreshableVersion="3" useAutoFormatting="1" subtotalHiddenItems="1" rowGrandTotals="0" colGrandTotals="0" itemPrintTitles="1" createdVersion="4" indent="0" outline="1" outlineData="1" multipleFieldFilters="0" fieldListSortAscending="1">
  <location ref="CA5:CN138" firstHeaderRow="1" firstDataRow="2" firstDataCol="1" rowPageCount="1" colPageCount="1"/>
  <pivotFields count="4">
    <pivotField axis="axisPage" allDrilled="1" showAll="0" dataSourceSort="1" defaultAttributeDrillState="1">
      <items count="1">
        <item t="default"/>
      </items>
    </pivotField>
    <pivotField axis="axisCol" allDrilled="1" showAll="0" sortType="ascending" defaultAttributeDrillState="1">
      <items count="14">
        <item x="0"/>
        <item x="1"/>
        <item x="2"/>
        <item x="3"/>
        <item x="4"/>
        <item x="5"/>
        <item x="6"/>
        <item x="7"/>
        <item x="8"/>
        <item x="9"/>
        <item x="10"/>
        <item x="11"/>
        <item x="12"/>
        <item t="default"/>
      </items>
    </pivotField>
    <pivotField axis="axisRow" allDrilled="1" showAll="0" dataSourceSort="1" defaultAttributeDrillState="1">
      <items count="1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t="default"/>
      </items>
    </pivotField>
    <pivotField dataField="1" showAll="0"/>
  </pivotFields>
  <rowFields count="1">
    <field x="2"/>
  </rowFields>
  <rowItems count="1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rowItems>
  <colFields count="1">
    <field x="1"/>
  </colFields>
  <colItems count="13">
    <i>
      <x/>
    </i>
    <i>
      <x v="1"/>
    </i>
    <i>
      <x v="2"/>
    </i>
    <i>
      <x v="3"/>
    </i>
    <i>
      <x v="4"/>
    </i>
    <i>
      <x v="5"/>
    </i>
    <i>
      <x v="6"/>
    </i>
    <i>
      <x v="7"/>
    </i>
    <i>
      <x v="8"/>
    </i>
    <i>
      <x v="9"/>
    </i>
    <i>
      <x v="10"/>
    </i>
    <i>
      <x v="11"/>
    </i>
    <i>
      <x v="12"/>
    </i>
  </colItems>
  <pageFields count="1">
    <pageField fld="0" hier="70" name="[Winter daily sitreps].[Year].&amp;[2019/20]" cap="2019/20"/>
  </pageFields>
  <dataFields count="1">
    <dataField name="Sum of Beds closed norovius unocc" fld="3"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9"/>
  </rowHierarchiesUsage>
  <colHierarchiesUsage count="1">
    <colHierarchyUsage hierarchyUsage="6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7.xml><?xml version="1.0" encoding="utf-8"?>
<pivotTableDefinition xmlns="http://schemas.openxmlformats.org/spreadsheetml/2006/main" name="PivotTable18" cacheId="264" applyNumberFormats="0" applyBorderFormats="0" applyFontFormats="0" applyPatternFormats="0" applyAlignmentFormats="0" applyWidthHeightFormats="1" dataCaption="Values" tag="8602e907-ddc4-40bb-89ca-8369de914bb2" updatedVersion="4" minRefreshableVersion="3" useAutoFormatting="1" subtotalHiddenItems="1" itemPrintTitles="1" createdVersion="4" indent="0" outline="1" outlineData="1" multipleFieldFilters="0" fieldListSortAscending="1">
  <location ref="G5:O20"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s>
  <rowFields count="1">
    <field x="2"/>
  </rowFields>
  <rowItems count="14">
    <i>
      <x/>
    </i>
    <i>
      <x v="1"/>
    </i>
    <i>
      <x v="2"/>
    </i>
    <i>
      <x v="3"/>
    </i>
    <i>
      <x v="4"/>
    </i>
    <i>
      <x v="5"/>
    </i>
    <i>
      <x v="6"/>
    </i>
    <i>
      <x v="7"/>
    </i>
    <i>
      <x v="8"/>
    </i>
    <i>
      <x v="9"/>
    </i>
    <i>
      <x v="10"/>
    </i>
    <i>
      <x v="11"/>
    </i>
    <i>
      <x v="12"/>
    </i>
    <i t="grand">
      <x/>
    </i>
  </rowItems>
  <colFields count="1">
    <field x="3"/>
  </colFields>
  <colItems count="8">
    <i>
      <x/>
    </i>
    <i>
      <x v="1"/>
    </i>
    <i>
      <x v="2"/>
    </i>
    <i>
      <x v="3"/>
    </i>
    <i>
      <x v="4"/>
    </i>
    <i>
      <x v="5"/>
    </i>
    <i>
      <x v="6"/>
    </i>
    <i t="grand">
      <x/>
    </i>
  </colItems>
  <pageFields count="1">
    <pageField fld="0" hier="70" name="[Winter daily sitreps].[Year].&amp;[2019/20]" cap="2019/20"/>
  </pageFields>
  <dataFields count="1">
    <dataField name="Sum of Beds closed norovirus" fld="1"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1">
    <colHierarchyUsage hierarchyUsage="6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8.xml><?xml version="1.0" encoding="utf-8"?>
<pivotTableDefinition xmlns="http://schemas.openxmlformats.org/spreadsheetml/2006/main" name="PivotTable24" cacheId="286" applyNumberFormats="0" applyBorderFormats="0" applyFontFormats="0" applyPatternFormats="0" applyAlignmentFormats="0" applyWidthHeightFormats="1" dataCaption="Values" tag="6a6694bf-2579-4d47-ad99-0cf669c79fb5" updatedVersion="4" minRefreshableVersion="3" useAutoFormatting="1" subtotalHiddenItems="1" rowGrandTotals="0" colGrandTotals="0" itemPrintTitles="1" createdVersion="4" indent="0" outline="1" outlineData="1" multipleFieldFilters="0" fieldListSortAscending="1">
  <location ref="CR5:CS96"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 dataField="1" showAll="0"/>
  </pivotFields>
  <rowFields count="1">
    <field x="1"/>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Items count="1">
    <i/>
  </colItems>
  <pageFields count="1">
    <pageField fld="0" hier="70" name="[Winter daily sitreps].[Year].&amp;[2019/20]" cap="2019/20"/>
  </pageFields>
  <dataFields count="1">
    <dataField name="Sum of Beds closed norovius unocc" fld="2"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9.xml><?xml version="1.0" encoding="utf-8"?>
<pivotTableDefinition xmlns="http://schemas.openxmlformats.org/spreadsheetml/2006/main" name="PivotTable17" cacheId="281" applyNumberFormats="0" applyBorderFormats="0" applyFontFormats="0" applyPatternFormats="0" applyAlignmentFormats="0" applyWidthHeightFormats="1" dataCaption="Values" tag="97b77543-1b1d-432f-8c12-86d5d61267bb" updatedVersion="4" minRefreshableVersion="3" useAutoFormatting="1" subtotalHiddenItems="1" rowGrandTotals="0" colGrandTotals="0" itemPrintTitles="1" createdVersion="4" indent="0" outline="1" outlineData="1" multipleFieldFilters="0" fieldListSortAscending="1">
  <location ref="B5:C18"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s>
  <rowFields count="1">
    <field x="1"/>
  </rowFields>
  <rowItems count="13">
    <i>
      <x/>
    </i>
    <i>
      <x v="1"/>
    </i>
    <i>
      <x v="2"/>
    </i>
    <i>
      <x v="3"/>
    </i>
    <i>
      <x v="4"/>
    </i>
    <i>
      <x v="5"/>
    </i>
    <i>
      <x v="6"/>
    </i>
    <i>
      <x v="7"/>
    </i>
    <i>
      <x v="8"/>
    </i>
    <i>
      <x v="9"/>
    </i>
    <i>
      <x v="10"/>
    </i>
    <i>
      <x v="11"/>
    </i>
    <i>
      <x v="12"/>
    </i>
  </rowItems>
  <colItems count="1">
    <i/>
  </colItems>
  <pageFields count="1">
    <pageField fld="0" hier="70" name="[Winter daily sitreps].[Year].&amp;[2019/20]" cap="2019/20"/>
  </pageFields>
  <dataFields count="1">
    <dataField name="Sum of Beds closed norovirus" fld="2"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4" cacheId="274" applyNumberFormats="0" applyBorderFormats="0" applyFontFormats="0" applyPatternFormats="0" applyAlignmentFormats="0" applyWidthHeightFormats="1" dataCaption="Values" tag="9d06cd80-18ab-4970-aab5-c7eca71eb3db" updatedVersion="4" minRefreshableVersion="3" useAutoFormatting="1" subtotalHiddenItems="1" rowGrandTotals="0" colGrandTotals="0" itemPrintTitles="1" createdVersion="4" indent="0" outline="1" outlineData="1" multipleFieldFilters="0" fieldListSortAscending="1">
  <location ref="AA5:AB96"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s>
  <rowFields count="1">
    <field x="2"/>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Items count="1">
    <i/>
  </colItems>
  <pageFields count="1">
    <pageField fld="1" hier="70" name="[Winter daily sitreps].[Year].&amp;[2019/20]" cap="2019/20"/>
  </pageFields>
  <dataFields count="1">
    <dataField name="Sum of AE diverts" fld="0"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0.xml><?xml version="1.0" encoding="utf-8"?>
<pivotTableDefinition xmlns="http://schemas.openxmlformats.org/spreadsheetml/2006/main" name="PivotTable20" cacheId="283" applyNumberFormats="0" applyBorderFormats="0" applyFontFormats="0" applyPatternFormats="0" applyAlignmentFormats="0" applyWidthHeightFormats="1" dataCaption="Values" tag="7ec86bb0-3bf3-4944-b894-a8057789e36b" updatedVersion="4" minRefreshableVersion="3" useAutoFormatting="1" subtotalHiddenItems="1" rowGrandTotals="0" colGrandTotals="0" itemPrintTitles="1" createdVersion="4" indent="0" outline="1" outlineData="1" multipleFieldFilters="0" fieldListSortAscending="1">
  <location ref="AS5:AT96"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 dataField="1" showAll="0"/>
  </pivotFields>
  <rowFields count="1">
    <field x="1"/>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Items count="1">
    <i/>
  </colItems>
  <pageFields count="1">
    <pageField fld="0" hier="70" name="[Winter daily sitreps].[Year].&amp;[2019/20]" cap="2019/20"/>
  </pageFields>
  <dataFields count="1">
    <dataField name="Sum of Beds closed norovirus" fld="2"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1.xml><?xml version="1.0" encoding="utf-8"?>
<pivotTableDefinition xmlns="http://schemas.openxmlformats.org/spreadsheetml/2006/main" name="PivotTable19" cacheId="282" applyNumberFormats="0" applyBorderFormats="0" applyFontFormats="0" applyPatternFormats="0" applyAlignmentFormats="0" applyWidthHeightFormats="1" dataCaption="Values" tag="e2de2b40-f58f-4522-b985-c9b08a98f818" updatedVersion="4" minRefreshableVersion="3" useAutoFormatting="1" subtotalHiddenItems="1" rowGrandTotals="0" colGrandTotals="0" itemPrintTitles="1" createdVersion="4" indent="0" outline="1" outlineData="1" multipleFieldFilters="0" fieldListSortAscending="1">
  <location ref="AC5:AP138"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efaultAttributeDrillState="1">
      <items count="14">
        <item x="0"/>
        <item x="5"/>
        <item x="6"/>
        <item x="7"/>
        <item x="8"/>
        <item x="9"/>
        <item x="10"/>
        <item x="11"/>
        <item x="12"/>
        <item x="1"/>
        <item x="2"/>
        <item x="3"/>
        <item x="4"/>
        <item t="default"/>
      </items>
    </pivotField>
    <pivotField axis="axisRow" allDrilled="1" showAll="0" dataSourceSort="1" defaultAttributeDrillState="1">
      <items count="1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t="default"/>
      </items>
    </pivotField>
  </pivotFields>
  <rowFields count="1">
    <field x="3"/>
  </rowFields>
  <rowItems count="1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rowItems>
  <colFields count="1">
    <field x="2"/>
  </colFields>
  <colItems count="13">
    <i>
      <x/>
    </i>
    <i>
      <x v="1"/>
    </i>
    <i>
      <x v="2"/>
    </i>
    <i>
      <x v="3"/>
    </i>
    <i>
      <x v="4"/>
    </i>
    <i>
      <x v="5"/>
    </i>
    <i>
      <x v="6"/>
    </i>
    <i>
      <x v="7"/>
    </i>
    <i>
      <x v="8"/>
    </i>
    <i>
      <x v="9"/>
    </i>
    <i>
      <x v="10"/>
    </i>
    <i>
      <x v="11"/>
    </i>
    <i>
      <x v="12"/>
    </i>
  </colItems>
  <pageFields count="1">
    <pageField fld="0" hier="70" name="[Winter daily sitreps].[Year].&amp;[2019/20]" cap="2019/20"/>
  </pageFields>
  <dataFields count="1">
    <dataField name="Sum of Beds closed norovirus" fld="1"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9"/>
  </rowHierarchiesUsage>
  <colHierarchiesUsage count="1">
    <colHierarchyUsage hierarchyUsage="6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2.xml><?xml version="1.0" encoding="utf-8"?>
<pivotTableDefinition xmlns="http://schemas.openxmlformats.org/spreadsheetml/2006/main" name="PivotTable21" cacheId="284" applyNumberFormats="0" applyBorderFormats="0" applyFontFormats="0" applyPatternFormats="0" applyAlignmentFormats="0" applyWidthHeightFormats="1" dataCaption="Values" tag="fb069d29-b488-44cf-b4dd-a64c1834045e" updatedVersion="4" minRefreshableVersion="3" useAutoFormatting="1" subtotalHiddenItems="1" rowGrandTotals="0" colGrandTotals="0" itemPrintTitles="1" createdVersion="4" indent="0" outline="1" outlineData="1" multipleFieldFilters="0" fieldListSortAscending="1">
  <location ref="AY5:AZ18"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s>
  <rowFields count="1">
    <field x="1"/>
  </rowFields>
  <rowItems count="13">
    <i>
      <x/>
    </i>
    <i>
      <x v="1"/>
    </i>
    <i>
      <x v="2"/>
    </i>
    <i>
      <x v="3"/>
    </i>
    <i>
      <x v="4"/>
    </i>
    <i>
      <x v="5"/>
    </i>
    <i>
      <x v="6"/>
    </i>
    <i>
      <x v="7"/>
    </i>
    <i>
      <x v="8"/>
    </i>
    <i>
      <x v="9"/>
    </i>
    <i>
      <x v="10"/>
    </i>
    <i>
      <x v="11"/>
    </i>
    <i>
      <x v="12"/>
    </i>
  </rowItems>
  <colItems count="1">
    <i/>
  </colItems>
  <pageFields count="1">
    <pageField fld="0" hier="70" name="[Winter daily sitreps].[Year].&amp;[2019/20]" cap="2019/20"/>
  </pageFields>
  <dataFields count="1">
    <dataField name="Sum of Beds closed norovius unocc" fld="2"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3.xml><?xml version="1.0" encoding="utf-8"?>
<pivotTableDefinition xmlns="http://schemas.openxmlformats.org/spreadsheetml/2006/main" name="PivotTable28" cacheId="266" applyNumberFormats="0" applyBorderFormats="0" applyFontFormats="0" applyPatternFormats="0" applyAlignmentFormats="0" applyWidthHeightFormats="1" dataCaption="Values" tag="b9575012-05ef-4632-bede-b87d05a4d489" updatedVersion="4" minRefreshableVersion="3" useAutoFormatting="1" subtotalHiddenItems="1" itemPrintTitles="1" createdVersion="4" indent="0" outline="1" outlineData="1" multipleFieldFilters="0" fieldListSortAscending="1">
  <location ref="AT5:BJ21"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s>
  <rowFields count="1">
    <field x="3"/>
  </rowFields>
  <rowItems count="14">
    <i>
      <x/>
    </i>
    <i>
      <x v="1"/>
    </i>
    <i>
      <x v="2"/>
    </i>
    <i>
      <x v="3"/>
    </i>
    <i>
      <x v="4"/>
    </i>
    <i>
      <x v="5"/>
    </i>
    <i>
      <x v="6"/>
    </i>
    <i>
      <x v="7"/>
    </i>
    <i>
      <x v="8"/>
    </i>
    <i>
      <x v="9"/>
    </i>
    <i>
      <x v="10"/>
    </i>
    <i>
      <x v="11"/>
    </i>
    <i>
      <x v="12"/>
    </i>
    <i t="grand">
      <x/>
    </i>
  </rowItems>
  <colFields count="2">
    <field x="4"/>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0" hier="70" name="[Winter daily sitreps].[Year].&amp;[2019/20]" cap="2019/20"/>
  </pageFields>
  <dataFields count="2">
    <dataField name="Avail" fld="1" baseField="0" baseItem="0"/>
    <dataField name="Occ" fld="2"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2">
    <colHierarchyUsage hierarchyUsage="6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4.xml><?xml version="1.0" encoding="utf-8"?>
<pivotTableDefinition xmlns="http://schemas.openxmlformats.org/spreadsheetml/2006/main" name="PivotTable26" cacheId="265" applyNumberFormats="0" applyBorderFormats="0" applyFontFormats="0" applyPatternFormats="0" applyAlignmentFormats="0" applyWidthHeightFormats="1" dataCaption="Values" tag="c1fa9d37-cafa-4c6c-bd29-455cc7cea9b3" updatedVersion="4" minRefreshableVersion="3" useAutoFormatting="1" subtotalHiddenItems="1" itemPrintTitles="1" createdVersion="4" indent="0" outline="1" outlineData="1" multipleFieldFilters="0" fieldListSortAscending="1">
  <location ref="I5:Y21"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s>
  <rowFields count="1">
    <field x="3"/>
  </rowFields>
  <rowItems count="14">
    <i>
      <x/>
    </i>
    <i>
      <x v="1"/>
    </i>
    <i>
      <x v="2"/>
    </i>
    <i>
      <x v="3"/>
    </i>
    <i>
      <x v="4"/>
    </i>
    <i>
      <x v="5"/>
    </i>
    <i>
      <x v="6"/>
    </i>
    <i>
      <x v="7"/>
    </i>
    <i>
      <x v="8"/>
    </i>
    <i>
      <x v="9"/>
    </i>
    <i>
      <x v="10"/>
    </i>
    <i>
      <x v="11"/>
    </i>
    <i>
      <x v="12"/>
    </i>
    <i t="grand">
      <x/>
    </i>
  </rowItems>
  <colFields count="2">
    <field x="4"/>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0" hier="70" name="[Winter daily sitreps].[Year].&amp;[2019/20]" cap="2019/20"/>
  </pageFields>
  <dataFields count="2">
    <dataField name="Avail" fld="1" baseField="0" baseItem="0"/>
    <dataField name="Occ" fld="2"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2">
    <colHierarchyUsage hierarchyUsage="6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5.xml><?xml version="1.0" encoding="utf-8"?>
<pivotTableDefinition xmlns="http://schemas.openxmlformats.org/spreadsheetml/2006/main" name="PivotTable25" cacheId="287" applyNumberFormats="0" applyBorderFormats="0" applyFontFormats="0" applyPatternFormats="0" applyAlignmentFormats="0" applyWidthHeightFormats="1" dataCaption="Values" tag="61ac615e-4002-46a2-afd6-5601e05c1057" updatedVersion="4" minRefreshableVersion="3" useAutoFormatting="1" subtotalHiddenItems="1" rowGrandTotals="0" colGrandTotals="0" itemPrintTitles="1" createdVersion="4" indent="0" outline="1" outlineData="1" multipleFieldFilters="0" fieldListSortAscending="1">
  <location ref="C5:E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70" name="[Winter daily sitreps].[Year].&amp;[2019/20]" cap="2019/20"/>
  </pageFields>
  <dataFields count="2">
    <dataField name="Avail" fld="2" baseField="0" baseItem="0"/>
    <dataField name="Occ" fld="3"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6.xml><?xml version="1.0" encoding="utf-8"?>
<pivotTableDefinition xmlns="http://schemas.openxmlformats.org/spreadsheetml/2006/main" name="PivotTable27" cacheId="288" applyNumberFormats="0" applyBorderFormats="0" applyFontFormats="0" applyPatternFormats="0" applyAlignmentFormats="0" applyWidthHeightFormats="1" dataCaption="Values" tag="dd0981dd-8639-45ae-b501-a497897f676e" updatedVersion="4" minRefreshableVersion="3" useAutoFormatting="1" subtotalHiddenItems="1" rowGrandTotals="0" colGrandTotals="0" itemPrintTitles="1" createdVersion="4" indent="0" outline="1" outlineData="1" multipleFieldFilters="0" fieldListSortAscending="1">
  <location ref="AN5:AP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70" name="[Winter daily sitreps].[Year].&amp;[2019/20]" cap="2019/20"/>
  </pageFields>
  <dataFields count="2">
    <dataField name="Avail" fld="2" baseField="0" baseItem="0"/>
    <dataField name="Occ" fld="3"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7.xml><?xml version="1.0" encoding="utf-8"?>
<pivotTableDefinition xmlns="http://schemas.openxmlformats.org/spreadsheetml/2006/main" name="PivotTable2" cacheId="267" applyNumberFormats="0" applyBorderFormats="0" applyFontFormats="0" applyPatternFormats="0" applyAlignmentFormats="0" applyWidthHeightFormats="1" dataCaption="Values" tag="cb83e953-d3a9-4433-84e3-86f132084549" updatedVersion="4" minRefreshableVersion="3" useAutoFormatting="1" subtotalHiddenItems="1" itemPrintTitles="1" createdVersion="4" indent="0" outline="1" outlineData="1" multipleFieldFilters="0" fieldListSortAscending="1">
  <location ref="H5:X2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2">
    <field x="2"/>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0" hier="70" name="[Winter daily sitreps].[Year].&amp;[2019/20]" cap="2019/20"/>
  </pageFields>
  <dataFields count="2">
    <dataField name="Sum of Paed Int Care Avail" fld="3" baseField="0" baseItem="0"/>
    <dataField name="Sum of Paed Int Care Occ" fld="4"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2">
    <colHierarchyUsage hierarchyUsage="6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8.xml><?xml version="1.0" encoding="utf-8"?>
<pivotTableDefinition xmlns="http://schemas.openxmlformats.org/spreadsheetml/2006/main" name="PivotTable1" cacheId="289" applyNumberFormats="0" applyBorderFormats="0" applyFontFormats="0" applyPatternFormats="0" applyAlignmentFormats="0" applyWidthHeightFormats="1" dataCaption="Values" tag="8092ca98-d055-401c-855a-87a650e1589b" updatedVersion="4" minRefreshableVersion="3" useAutoFormatting="1" subtotalHiddenItems="1" rowGrandTotals="0" colGrandTotals="0" itemPrintTitles="1" createdVersion="4" indent="0" outline="1" outlineData="1" multipleFieldFilters="0" fieldListSortAscending="1">
  <location ref="B5:D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70" name="[Winter daily sitreps].[Year].&amp;[2019/20]" cap="2019/20"/>
  </pageFields>
  <dataFields count="2">
    <dataField name="Sum of Paed Int Care Avail" fld="2" baseField="0" baseItem="0"/>
    <dataField name="Sum of Paed Int Care Occ" fld="3"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9.xml><?xml version="1.0" encoding="utf-8"?>
<pivotTableDefinition xmlns="http://schemas.openxmlformats.org/spreadsheetml/2006/main" name="PivotTable4" cacheId="268" applyNumberFormats="0" applyBorderFormats="0" applyFontFormats="0" applyPatternFormats="0" applyAlignmentFormats="0" applyWidthHeightFormats="1" dataCaption="Values" tag="e4f2c472-a146-4ee5-be49-5287088b7209" updatedVersion="4" minRefreshableVersion="3" useAutoFormatting="1" subtotalHiddenItems="1" itemPrintTitles="1" createdVersion="4" indent="0" outline="1" outlineData="1" multipleFieldFilters="0" fieldListSortAscending="1">
  <location ref="AT5:BJ2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2">
    <field x="2"/>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0" hier="70" name="[Winter daily sitreps].[Year].&amp;[2019/20]" cap="2019/20"/>
  </pageFields>
  <dataFields count="2">
    <dataField name="Sum of Paed Int Care Avail" fld="3" baseField="0" baseItem="0"/>
    <dataField name="Sum of Paed Int Care Occ" fld="4"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2">
    <colHierarchyUsage hierarchyUsage="6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9" cacheId="258" applyNumberFormats="0" applyBorderFormats="0" applyFontFormats="0" applyPatternFormats="0" applyAlignmentFormats="0" applyWidthHeightFormats="1" dataCaption="Values" tag="7cdba49d-4c8e-4517-a4e1-6ff5fedbb3a1" updatedVersion="4" minRefreshableVersion="3" useAutoFormatting="1" subtotalHiddenItems="1" itemPrintTitles="1" createdVersion="4" indent="0" outline="1" outlineData="1" multipleFieldFilters="0" fieldListSortAscending="1">
  <location ref="E5:M20" firstHeaderRow="1" firstDataRow="2" firstDataCol="1" rowPageCount="1" colPageCount="1"/>
  <pivotFields count="4">
    <pivotField dataField="1" showAll="0"/>
    <pivotField axis="axisPage" allDrilled="1" showAll="0" dataSourceSort="1" defaultAttributeDrillState="1">
      <items count="1">
        <item t="default"/>
      </items>
    </pivotField>
    <pivotField axis="axisCol" allDrilled="1" showAll="0" sortType="ascending" defaultAttributeDrillState="1">
      <items count="8">
        <item x="0"/>
        <item x="1"/>
        <item x="2"/>
        <item x="3"/>
        <item x="4"/>
        <item x="5"/>
        <item x="6"/>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s>
  <rowFields count="1">
    <field x="3"/>
  </rowFields>
  <rowItems count="14">
    <i>
      <x/>
    </i>
    <i>
      <x v="1"/>
    </i>
    <i>
      <x v="2"/>
    </i>
    <i>
      <x v="3"/>
    </i>
    <i>
      <x v="4"/>
    </i>
    <i>
      <x v="5"/>
    </i>
    <i>
      <x v="6"/>
    </i>
    <i>
      <x v="7"/>
    </i>
    <i>
      <x v="8"/>
    </i>
    <i>
      <x v="9"/>
    </i>
    <i>
      <x v="10"/>
    </i>
    <i>
      <x v="11"/>
    </i>
    <i>
      <x v="12"/>
    </i>
    <i t="grand">
      <x/>
    </i>
  </rowItems>
  <colFields count="1">
    <field x="2"/>
  </colFields>
  <colItems count="8">
    <i>
      <x/>
    </i>
    <i>
      <x v="1"/>
    </i>
    <i>
      <x v="2"/>
    </i>
    <i>
      <x v="3"/>
    </i>
    <i>
      <x v="4"/>
    </i>
    <i>
      <x v="5"/>
    </i>
    <i>
      <x v="6"/>
    </i>
    <i t="grand">
      <x/>
    </i>
  </colItems>
  <pageFields count="1">
    <pageField fld="1" hier="70" name="[Winter daily sitreps].[Year].&amp;[2019/20]" cap="2019/20"/>
  </pageFields>
  <dataFields count="1">
    <dataField name="Sum of AE diverts" fld="0"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1">
    <colHierarchyUsage hierarchyUsage="6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0.xml><?xml version="1.0" encoding="utf-8"?>
<pivotTableDefinition xmlns="http://schemas.openxmlformats.org/spreadsheetml/2006/main" name="PivotTable3" cacheId="290" applyNumberFormats="0" applyBorderFormats="0" applyFontFormats="0" applyPatternFormats="0" applyAlignmentFormats="0" applyWidthHeightFormats="1" dataCaption="Values" tag="ba0b1b6b-253c-4af3-8da1-40f03654e889" updatedVersion="4" minRefreshableVersion="3" useAutoFormatting="1" subtotalHiddenItems="1" rowGrandTotals="0" colGrandTotals="0" itemPrintTitles="1" createdVersion="4" indent="0" outline="1" outlineData="1" multipleFieldFilters="0" fieldListSortAscending="1">
  <location ref="AM5:AO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70" name="[Winter daily sitreps].[Year].&amp;[2019/20]" cap="2019/20"/>
  </pageFields>
  <dataFields count="2">
    <dataField name="Sum of Paed Int Care Avail" fld="2" baseField="0" baseItem="0"/>
    <dataField name="Sum of Paed Int Care Occ" fld="3"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1.xml><?xml version="1.0" encoding="utf-8"?>
<pivotTableDefinition xmlns="http://schemas.openxmlformats.org/spreadsheetml/2006/main" name="PivotTable6" cacheId="291" applyNumberFormats="0" applyBorderFormats="0" applyFontFormats="0" applyPatternFormats="0" applyAlignmentFormats="0" applyWidthHeightFormats="1" dataCaption="Values" tag="33689785-b65f-4d09-8f69-70383ef188d2" updatedVersion="4" minRefreshableVersion="3" useAutoFormatting="1" subtotalHiddenItems="1" rowGrandTotals="0" colGrandTotals="0" itemPrintTitles="1" createdVersion="4" indent="0" outline="1" outlineData="1" multipleFieldFilters="0" fieldListSortAscending="1">
  <location ref="B5:D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70" name="[Winter daily sitreps].[Year].&amp;[2019/20]" cap="2019/20"/>
  </pageFields>
  <dataFields count="2">
    <dataField name="Sum of Neo Int Care Avail" fld="2" baseField="0" baseItem="0"/>
    <dataField name="Sum of Neo Int Care occ" fld="3"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2.xml><?xml version="1.0" encoding="utf-8"?>
<pivotTableDefinition xmlns="http://schemas.openxmlformats.org/spreadsheetml/2006/main" name="PivotTable8" cacheId="269" applyNumberFormats="0" applyBorderFormats="0" applyFontFormats="0" applyPatternFormats="0" applyAlignmentFormats="0" applyWidthHeightFormats="1" dataCaption="Values" tag="a2bb9c2e-6606-40c6-8988-4a0b49a15b1b" updatedVersion="4" minRefreshableVersion="3" useAutoFormatting="1" subtotalHiddenItems="1" itemPrintTitles="1" createdVersion="4" indent="0" outline="1" outlineData="1" multipleFieldFilters="0" fieldListSortAscending="1">
  <location ref="H5:X2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2">
    <field x="2"/>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0" hier="70" name="[Winter daily sitreps].[Year].&amp;[2019/20]" cap="2019/20"/>
  </pageFields>
  <dataFields count="2">
    <dataField name="Sum of Neo Int Care Avail" fld="3" baseField="0" baseItem="0"/>
    <dataField name="Sum of Neo Int Care occ" fld="4"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2">
    <colHierarchyUsage hierarchyUsage="6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3.xml><?xml version="1.0" encoding="utf-8"?>
<pivotTableDefinition xmlns="http://schemas.openxmlformats.org/spreadsheetml/2006/main" name="PivotTable10" cacheId="270" applyNumberFormats="0" applyBorderFormats="0" applyFontFormats="0" applyPatternFormats="0" applyAlignmentFormats="0" applyWidthHeightFormats="1" dataCaption="Values" tag="63d379ad-3316-4220-96ab-b24ff7ed409f" updatedVersion="4" minRefreshableVersion="3" useAutoFormatting="1" subtotalHiddenItems="1" itemPrintTitles="1" createdVersion="4" indent="0" outline="1" outlineData="1" multipleFieldFilters="0" fieldListSortAscending="1">
  <location ref="AS5:BI2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2">
    <field x="2"/>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0" hier="70" name="[Winter daily sitreps].[Year].&amp;[2019/20]" cap="2019/20"/>
  </pageFields>
  <dataFields count="2">
    <dataField name="Sum of Neo Int Care Avail" fld="3" baseField="0" baseItem="0"/>
    <dataField name="Sum of Neo Int Care occ" fld="4"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2">
    <colHierarchyUsage hierarchyUsage="6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4.xml><?xml version="1.0" encoding="utf-8"?>
<pivotTableDefinition xmlns="http://schemas.openxmlformats.org/spreadsheetml/2006/main" name="PivotTable9" cacheId="292" applyNumberFormats="0" applyBorderFormats="0" applyFontFormats="0" applyPatternFormats="0" applyAlignmentFormats="0" applyWidthHeightFormats="1" dataCaption="Values" tag="b0ef4df9-2980-427c-9277-09e19a1bf0e0" updatedVersion="4" minRefreshableVersion="3" useAutoFormatting="1" subtotalHiddenItems="1" rowGrandTotals="0" colGrandTotals="0" itemPrintTitles="1" createdVersion="4" indent="0" outline="1" outlineData="1" multipleFieldFilters="0" fieldListSortAscending="1">
  <location ref="AM5:AO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70" name="[Winter daily sitreps].[Year].&amp;[2019/20]" cap="2019/20"/>
  </pageFields>
  <dataFields count="2">
    <dataField name="Sum of Neo Int Care Avail" fld="2" baseField="0" baseItem="0"/>
    <dataField name="Sum of Neo Int Care occ" fld="3"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Average of Neo Int Care Avail"/>
    <pivotHierarchy dragToRow="0" dragToCol="0" dragToPage="0" dragToData="1" caption="Average of Neo Int Care occ"/>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5.xml><?xml version="1.0" encoding="utf-8"?>
<pivotTableDefinition xmlns="http://schemas.openxmlformats.org/spreadsheetml/2006/main" name="PivotTable13" cacheId="295" applyNumberFormats="0" applyBorderFormats="0" applyFontFormats="0" applyPatternFormats="0" applyAlignmentFormats="0" applyWidthHeightFormats="1" dataCaption="Values" tag="3cb5cdca-36b5-486f-a20e-39ce49e1e44d" updatedVersion="4" minRefreshableVersion="3" useAutoFormatting="1" subtotalHiddenItems="1" rowGrandTotals="0" colGrandTotals="0" itemPrintTitles="1" createdVersion="4" indent="0" outline="1" outlineData="1" multipleFieldFilters="0" fieldListSortAscending="1">
  <location ref="BK5:BX138"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14">
        <item x="0"/>
        <item x="1"/>
        <item x="2"/>
        <item x="3"/>
        <item x="4"/>
        <item x="5"/>
        <item x="6"/>
        <item x="7"/>
        <item x="8"/>
        <item x="9"/>
        <item x="10"/>
        <item x="11"/>
        <item x="12"/>
        <item t="default"/>
      </items>
    </pivotField>
    <pivotField axis="axisRow" allDrilled="1" showAll="0" dataSourceSort="1" defaultAttributeDrillState="1">
      <items count="1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t="default"/>
      </items>
    </pivotField>
    <pivotField dataField="1" showAll="0"/>
  </pivotFields>
  <rowFields count="1">
    <field x="2"/>
  </rowFields>
  <rowItems count="1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rowItems>
  <colFields count="1">
    <field x="1"/>
  </colFields>
  <colItems count="13">
    <i>
      <x/>
    </i>
    <i>
      <x v="1"/>
    </i>
    <i>
      <x v="2"/>
    </i>
    <i>
      <x v="3"/>
    </i>
    <i>
      <x v="4"/>
    </i>
    <i>
      <x v="5"/>
    </i>
    <i>
      <x v="6"/>
    </i>
    <i>
      <x v="7"/>
    </i>
    <i>
      <x v="8"/>
    </i>
    <i>
      <x v="9"/>
    </i>
    <i>
      <x v="10"/>
    </i>
    <i>
      <x v="11"/>
    </i>
    <i>
      <x v="12"/>
    </i>
  </colItems>
  <pageFields count="1">
    <pageField fld="0" hier="70" name="[Winter daily sitreps].[Year].&amp;[2019/20]" cap="2019/20"/>
  </pageFields>
  <dataFields count="1">
    <dataField name="Sum of Amb delays over 60 mins" fld="3"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caption="Sum of Amb delays 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9"/>
  </rowHierarchiesUsage>
  <colHierarchiesUsage count="1">
    <colHierarchyUsage hierarchyUsage="6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6.xml><?xml version="1.0" encoding="utf-8"?>
<pivotTableDefinition xmlns="http://schemas.openxmlformats.org/spreadsheetml/2006/main" name="PivotTable12" cacheId="272" applyNumberFormats="0" applyBorderFormats="0" applyFontFormats="0" applyPatternFormats="0" applyAlignmentFormats="0" applyWidthHeightFormats="1" dataCaption="Values" tag="eaf9b400-a2bd-43d0-8ba9-4bd3d8b1e3c8" updatedVersion="4" minRefreshableVersion="3" useAutoFormatting="1" subtotalHiddenItems="1" rowGrandTotals="0" itemPrintTitles="1" createdVersion="4" indent="0" outline="1" outlineData="1" multipleFieldFilters="0" fieldListSortAscending="1">
  <location ref="X5:AV20" firstHeaderRow="1" firstDataRow="3" firstDataCol="1" rowPageCount="1" colPageCount="1"/>
  <pivotFields count="6">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 dataField="1" showAll="0"/>
    <pivotField dataField="1" showAll="0"/>
    <pivotField dataField="1" showAll="0"/>
  </pivotFields>
  <rowFields count="1">
    <field x="1"/>
  </rowFields>
  <rowItems count="13">
    <i>
      <x/>
    </i>
    <i>
      <x v="1"/>
    </i>
    <i>
      <x v="2"/>
    </i>
    <i>
      <x v="3"/>
    </i>
    <i>
      <x v="4"/>
    </i>
    <i>
      <x v="5"/>
    </i>
    <i>
      <x v="6"/>
    </i>
    <i>
      <x v="7"/>
    </i>
    <i>
      <x v="8"/>
    </i>
    <i>
      <x v="9"/>
    </i>
    <i>
      <x v="10"/>
    </i>
    <i>
      <x v="11"/>
    </i>
    <i>
      <x v="12"/>
    </i>
  </rowItems>
  <colFields count="2">
    <field x="2"/>
    <field x="-2"/>
  </colFields>
  <colItems count="24">
    <i>
      <x/>
      <x/>
    </i>
    <i r="1" i="1">
      <x v="1"/>
    </i>
    <i r="1" i="2">
      <x v="2"/>
    </i>
    <i>
      <x v="1"/>
      <x/>
    </i>
    <i r="1" i="1">
      <x v="1"/>
    </i>
    <i r="1" i="2">
      <x v="2"/>
    </i>
    <i>
      <x v="2"/>
      <x/>
    </i>
    <i r="1" i="1">
      <x v="1"/>
    </i>
    <i r="1" i="2">
      <x v="2"/>
    </i>
    <i>
      <x v="3"/>
      <x/>
    </i>
    <i r="1" i="1">
      <x v="1"/>
    </i>
    <i r="1" i="2">
      <x v="2"/>
    </i>
    <i>
      <x v="4"/>
      <x/>
    </i>
    <i r="1" i="1">
      <x v="1"/>
    </i>
    <i r="1" i="2">
      <x v="2"/>
    </i>
    <i>
      <x v="5"/>
      <x/>
    </i>
    <i r="1" i="1">
      <x v="1"/>
    </i>
    <i r="1" i="2">
      <x v="2"/>
    </i>
    <i>
      <x v="6"/>
      <x/>
    </i>
    <i r="1" i="1">
      <x v="1"/>
    </i>
    <i r="1" i="2">
      <x v="2"/>
    </i>
    <i t="grand">
      <x/>
    </i>
    <i t="grand" i="1">
      <x/>
    </i>
    <i t="grand" i="2">
      <x/>
    </i>
  </colItems>
  <pageFields count="1">
    <pageField fld="0" hier="70" name="[Winter daily sitreps].[Year].&amp;[2019/20]" cap="2019/20"/>
  </pageFields>
  <dataFields count="3">
    <dataField name="Sum of Amb arrivals" fld="5" baseField="0" baseItem="0"/>
    <dataField name="30-60 mins" fld="3" baseField="0" baseItem="0"/>
    <dataField name="over 60 mins" fld="4"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caption="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2">
    <colHierarchyUsage hierarchyUsage="6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7.xml><?xml version="1.0" encoding="utf-8"?>
<pivotTableDefinition xmlns="http://schemas.openxmlformats.org/spreadsheetml/2006/main" name="PivotTable11" cacheId="271" applyNumberFormats="0" applyBorderFormats="0" applyFontFormats="0" applyPatternFormats="0" applyAlignmentFormats="0" applyWidthHeightFormats="1" dataCaption="Values" tag="164ea269-92fe-49b9-9646-baab7f3a2050" updatedVersion="4" minRefreshableVersion="3" useAutoFormatting="1" subtotalHiddenItems="1" rowGrandTotals="0" itemPrintTitles="1" createdVersion="4" indent="0" outline="1" outlineData="1" multipleFieldFilters="0" fieldListSortAscending="1">
  <location ref="B5:J19"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axis="axisCol" allDrilled="1" showAll="0" dataSourceSort="1" defaultAttributeDrillState="1">
      <items count="8">
        <item x="0"/>
        <item x="1"/>
        <item x="2"/>
        <item x="3"/>
        <item x="4"/>
        <item x="5"/>
        <item x="6"/>
        <item t="default"/>
      </items>
    </pivotField>
  </pivotFields>
  <rowFields count="1">
    <field x="1"/>
  </rowFields>
  <rowItems count="13">
    <i>
      <x/>
    </i>
    <i>
      <x v="1"/>
    </i>
    <i>
      <x v="2"/>
    </i>
    <i>
      <x v="3"/>
    </i>
    <i>
      <x v="4"/>
    </i>
    <i>
      <x v="5"/>
    </i>
    <i>
      <x v="6"/>
    </i>
    <i>
      <x v="7"/>
    </i>
    <i>
      <x v="8"/>
    </i>
    <i>
      <x v="9"/>
    </i>
    <i>
      <x v="10"/>
    </i>
    <i>
      <x v="11"/>
    </i>
    <i>
      <x v="12"/>
    </i>
  </rowItems>
  <colFields count="1">
    <field x="3"/>
  </colFields>
  <colItems count="8">
    <i>
      <x/>
    </i>
    <i>
      <x v="1"/>
    </i>
    <i>
      <x v="2"/>
    </i>
    <i>
      <x v="3"/>
    </i>
    <i>
      <x v="4"/>
    </i>
    <i>
      <x v="5"/>
    </i>
    <i>
      <x v="6"/>
    </i>
    <i t="grand">
      <x/>
    </i>
  </colItems>
  <pageFields count="1">
    <pageField fld="0" hier="70" name="[Winter daily sitreps].[Year].&amp;[2019/20]" cap="2019/20"/>
  </pageFields>
  <dataFields count="1">
    <dataField name="Sum of Amb arrivals" fld="2"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1">
    <colHierarchyUsage hierarchyUsage="6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8" cacheId="273" applyNumberFormats="0" applyBorderFormats="0" applyFontFormats="0" applyPatternFormats="0" applyAlignmentFormats="0" applyWidthHeightFormats="1" dataCaption="Values" tag="c1f45b27-5377-4b85-a5cc-8347f81f52db" updatedVersion="4" minRefreshableVersion="3" useAutoFormatting="1" subtotalHiddenItems="1" itemPrintTitles="1" createdVersion="4" indent="0" outline="1" outlineData="1" multipleFieldFilters="0" fieldListSortAscending="1">
  <location ref="B5:C19" firstHeaderRow="1" firstDataRow="1" firstDataCol="1" rowPageCount="1" colPageCount="1"/>
  <pivotFields count="3">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 axis="axisPage" allDrilled="1" showAll="0" dataSourceSort="1" defaultAttributeDrillState="1">
      <items count="1">
        <item t="default"/>
      </items>
    </pivotField>
  </pivotFields>
  <rowFields count="1">
    <field x="1"/>
  </rowFields>
  <rowItems count="14">
    <i>
      <x/>
    </i>
    <i>
      <x v="1"/>
    </i>
    <i>
      <x v="2"/>
    </i>
    <i>
      <x v="3"/>
    </i>
    <i>
      <x v="4"/>
    </i>
    <i>
      <x v="5"/>
    </i>
    <i>
      <x v="6"/>
    </i>
    <i>
      <x v="7"/>
    </i>
    <i>
      <x v="8"/>
    </i>
    <i>
      <x v="9"/>
    </i>
    <i>
      <x v="10"/>
    </i>
    <i>
      <x v="11"/>
    </i>
    <i>
      <x v="12"/>
    </i>
    <i t="grand">
      <x/>
    </i>
  </rowItems>
  <colItems count="1">
    <i/>
  </colItems>
  <pageFields count="1">
    <pageField fld="2" hier="70" name="[Winter daily sitreps].[Year].&amp;[2019/20]" cap="2019/20"/>
  </pageFields>
  <dataFields count="1">
    <dataField name="Sum of AE diverts" fld="0"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11" cacheId="277" applyNumberFormats="0" applyBorderFormats="0" applyFontFormats="0" applyPatternFormats="0" applyAlignmentFormats="0" applyWidthHeightFormats="1" dataCaption="Values" tag="e0ec11de-981b-4052-a8fe-1e8cd442aade" updatedVersion="4" minRefreshableVersion="3" useAutoFormatting="1" subtotalHiddenItems="1" rowGrandTotals="0" colGrandTotals="0" itemPrintTitles="1" createdVersion="4" indent="0" outline="1" outlineData="1" multipleFieldFilters="0" fieldListSortAscending="1">
  <location ref="L5:O96" firstHeaderRow="0" firstDataRow="1" firstDataCol="1" rowPageCount="1" colPageCount="1"/>
  <pivotFields count="5">
    <pivotField axis="axisPage" allDrilled="1" showAll="0" dataSourceSort="1" defaultSubtotal="0" defaultAttributeDrillState="1"/>
    <pivotField dataField="1" showAll="0"/>
    <pivotField dataField="1" showAll="0"/>
    <pivotField dataField="1" showAll="0"/>
    <pivotField axis="axisRow" allDrilled="1" showAll="0" dataSourceSort="1" defaultSubtotal="0" defaultAttributeDrillState="1">
      <items count="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s>
    </pivotField>
  </pivotFields>
  <rowFields count="1">
    <field x="4"/>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Fields count="1">
    <field x="-2"/>
  </colFields>
  <colItems count="3">
    <i>
      <x/>
    </i>
    <i i="1">
      <x v="1"/>
    </i>
    <i i="2">
      <x v="2"/>
    </i>
  </colItems>
  <pageFields count="1">
    <pageField fld="0" hier="70" name="[Winter daily sitreps].[Year].&amp;[2019/20]" cap="2019/20"/>
  </pageFields>
  <dataFields count="3">
    <dataField name="Core" fld="1" baseField="0" baseItem="0"/>
    <dataField name="Escalation" fld="2" baseField="0" baseItem="0"/>
    <dataField name="Total" fld="3"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13" cacheId="278" applyNumberFormats="0" applyBorderFormats="0" applyFontFormats="0" applyPatternFormats="0" applyAlignmentFormats="0" applyWidthHeightFormats="1" dataCaption="Values" tag="f3125be8-0268-4aab-a20c-9359a97ff270" updatedVersion="4" minRefreshableVersion="3" useAutoFormatting="1" subtotalHiddenItems="1" rowGrandTotals="0" itemPrintTitles="1" createdVersion="4" indent="0" outline="1" outlineData="1" multipleFieldFilters="0" fieldListSortAscending="1">
  <location ref="BG6:BJ97" firstHeaderRow="0"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s>
  <rowFields count="1">
    <field x="4"/>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Fields count="1">
    <field x="-2"/>
  </colFields>
  <colItems count="3">
    <i>
      <x/>
    </i>
    <i i="1">
      <x v="1"/>
    </i>
    <i i="2">
      <x v="2"/>
    </i>
  </colItems>
  <pageFields count="1">
    <pageField fld="0" hier="70" name="[Winter daily sitreps].[Year].&amp;[2019/20]" cap="2019/20"/>
  </pageFields>
  <dataFields count="3">
    <dataField name="Core" fld="1" baseField="0" baseItem="0"/>
    <dataField name="Escalation" fld="2" baseField="0" baseItem="0"/>
    <dataField name="Total" fld="3"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PivotTable12" cacheId="259" applyNumberFormats="0" applyBorderFormats="0" applyFontFormats="0" applyPatternFormats="0" applyAlignmentFormats="0" applyWidthHeightFormats="1" dataCaption="Values" tag="ed642629-01ce-41a1-89dc-5dcfa0219d0f" updatedVersion="4" minRefreshableVersion="3" useAutoFormatting="1" subtotalHiddenItems="1" itemPrintTitles="1" createdVersion="4" indent="0" outline="1" outlineData="1" multipleFieldFilters="0" fieldListSortAscending="1">
  <location ref="W5:AU21" firstHeaderRow="1" firstDataRow="3" firstDataCol="1" rowPageCount="1" colPageCount="1"/>
  <pivotFields count="6">
    <pivotField axis="axisPage" allDrilled="1" showAll="0" dataSourceSort="1" defaultAttributeDrillState="1">
      <items count="1">
        <item t="default"/>
      </items>
    </pivotField>
    <pivotField dataField="1" showAll="0"/>
    <pivotField dataField="1" showAll="0"/>
    <pivotField axis="axisCol" allDrilled="1" showAll="0" sortType="ascending" defaultAttributeDrillState="1">
      <items count="8">
        <item x="0"/>
        <item x="1"/>
        <item x="2"/>
        <item x="3"/>
        <item x="4"/>
        <item x="5"/>
        <item x="6"/>
        <item t="default"/>
      </items>
    </pivotField>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s>
  <rowFields count="1">
    <field x="5"/>
  </rowFields>
  <rowItems count="14">
    <i>
      <x/>
    </i>
    <i>
      <x v="1"/>
    </i>
    <i>
      <x v="2"/>
    </i>
    <i>
      <x v="3"/>
    </i>
    <i>
      <x v="4"/>
    </i>
    <i>
      <x v="5"/>
    </i>
    <i>
      <x v="6"/>
    </i>
    <i>
      <x v="7"/>
    </i>
    <i>
      <x v="8"/>
    </i>
    <i>
      <x v="9"/>
    </i>
    <i>
      <x v="10"/>
    </i>
    <i>
      <x v="11"/>
    </i>
    <i>
      <x v="12"/>
    </i>
    <i t="grand">
      <x/>
    </i>
  </rowItems>
  <colFields count="2">
    <field x="3"/>
    <field x="-2"/>
  </colFields>
  <colItems count="24">
    <i>
      <x/>
      <x/>
    </i>
    <i r="1" i="1">
      <x v="1"/>
    </i>
    <i r="1" i="2">
      <x v="2"/>
    </i>
    <i>
      <x v="1"/>
      <x/>
    </i>
    <i r="1" i="1">
      <x v="1"/>
    </i>
    <i r="1" i="2">
      <x v="2"/>
    </i>
    <i>
      <x v="2"/>
      <x/>
    </i>
    <i r="1" i="1">
      <x v="1"/>
    </i>
    <i r="1" i="2">
      <x v="2"/>
    </i>
    <i>
      <x v="3"/>
      <x/>
    </i>
    <i r="1" i="1">
      <x v="1"/>
    </i>
    <i r="1" i="2">
      <x v="2"/>
    </i>
    <i>
      <x v="4"/>
      <x/>
    </i>
    <i r="1" i="1">
      <x v="1"/>
    </i>
    <i r="1" i="2">
      <x v="2"/>
    </i>
    <i>
      <x v="5"/>
      <x/>
    </i>
    <i r="1" i="1">
      <x v="1"/>
    </i>
    <i r="1" i="2">
      <x v="2"/>
    </i>
    <i>
      <x v="6"/>
      <x/>
    </i>
    <i r="1" i="1">
      <x v="1"/>
    </i>
    <i r="1" i="2">
      <x v="2"/>
    </i>
    <i t="grand">
      <x/>
    </i>
    <i t="grand" i="1">
      <x/>
    </i>
    <i t="grand" i="2">
      <x/>
    </i>
  </colItems>
  <pageFields count="1">
    <pageField fld="0" hier="70" name="[Winter daily sitreps].[Year].&amp;[2019/20]" cap="2019/20"/>
  </pageFields>
  <dataFields count="3">
    <dataField name="Core" fld="1" baseField="0" baseItem="0"/>
    <dataField name="Escalation" fld="2" baseField="0" baseItem="0"/>
    <dataField name="Total" fld="4"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2">
    <colHierarchyUsage hierarchyUsage="6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8.xml><?xml version="1.0" encoding="utf-8"?>
<pivotTableDefinition xmlns="http://schemas.openxmlformats.org/spreadsheetml/2006/main" name="PivotTable10" cacheId="276" applyNumberFormats="0" applyBorderFormats="0" applyFontFormats="0" applyPatternFormats="0" applyAlignmentFormats="0" applyWidthHeightFormats="1" dataCaption="Values" tag="28dedf1c-92d5-4d53-b4e5-4da17111bb79" updatedVersion="4" minRefreshableVersion="3" useAutoFormatting="1" subtotalHiddenItems="1" itemPrintTitles="1" createdVersion="4" indent="0" outline="1" outlineData="1" multipleFieldFilters="0" fieldListSortAscending="1">
  <location ref="B5:E19" firstHeaderRow="0" firstDataRow="1"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1">
    <field x="-2"/>
  </colFields>
  <colItems count="3">
    <i>
      <x/>
    </i>
    <i i="1">
      <x v="1"/>
    </i>
    <i i="2">
      <x v="2"/>
    </i>
  </colItems>
  <pageFields count="1">
    <pageField fld="0" hier="70" name="[Winter daily sitreps].[Year].&amp;[2019/20]" cap="2019/20"/>
  </pageFields>
  <dataFields count="3">
    <dataField name="Core" fld="2" baseField="0" baseItem="0"/>
    <dataField name="Escalation" fld="3" baseField="0" baseItem="0"/>
    <dataField name="Total" fld="4"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9.xml><?xml version="1.0" encoding="utf-8"?>
<pivotTableDefinition xmlns="http://schemas.openxmlformats.org/spreadsheetml/2006/main" name="PivotTable14" cacheId="279" applyNumberFormats="0" applyBorderFormats="0" applyFontFormats="0" applyPatternFormats="0" applyAlignmentFormats="0" applyWidthHeightFormats="1" dataCaption="Values" tag="8eedc978-07e8-48d8-81c4-2d336553a92f" updatedVersion="4" minRefreshableVersion="3" useAutoFormatting="1" subtotalHiddenItems="1" itemPrintTitles="1" createdVersion="4" indent="0" outline="1" outlineData="1" multipleFieldFilters="0" fieldListSortAscending="1">
  <location ref="B5:D19" firstHeaderRow="0" firstDataRow="1" firstDataCol="1" rowPageCount="1" colPageCount="1"/>
  <pivotFields count="4">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s>
  <rowFields count="1">
    <field x="3"/>
  </rowFields>
  <rowItems count="14">
    <i>
      <x/>
    </i>
    <i>
      <x v="1"/>
    </i>
    <i>
      <x v="2"/>
    </i>
    <i>
      <x v="3"/>
    </i>
    <i>
      <x v="4"/>
    </i>
    <i>
      <x v="5"/>
    </i>
    <i>
      <x v="6"/>
    </i>
    <i>
      <x v="7"/>
    </i>
    <i>
      <x v="8"/>
    </i>
    <i>
      <x v="9"/>
    </i>
    <i>
      <x v="10"/>
    </i>
    <i>
      <x v="11"/>
    </i>
    <i>
      <x v="12"/>
    </i>
    <i t="grand">
      <x/>
    </i>
  </rowItems>
  <colFields count="1">
    <field x="-2"/>
  </colFields>
  <colItems count="2">
    <i>
      <x/>
    </i>
    <i i="1">
      <x v="1"/>
    </i>
  </colItems>
  <pageFields count="1">
    <pageField fld="0" hier="70" name="[Winter daily sitreps].[Year].&amp;[2019/20]" cap="2019/20"/>
  </pageFields>
  <dataFields count="2">
    <dataField name="Available" fld="1" baseField="0" baseItem="0"/>
    <dataField name="Occupied" fld="2" baseField="0" baseItem="0"/>
  </dataFields>
  <pivotHierarchies count="10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9/20]"/>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theme/theme1.xml><?xml version="1.0" encoding="utf-8"?>
<a:theme xmlns:a="http://schemas.openxmlformats.org/drawingml/2006/main" name="Office Theme">
  <a:themeElements>
    <a:clrScheme name="NHS Providers">
      <a:dk1>
        <a:sysClr val="windowText" lastClr="000000"/>
      </a:dk1>
      <a:lt1>
        <a:sysClr val="window" lastClr="FFFFFF"/>
      </a:lt1>
      <a:dk2>
        <a:srgbClr val="3E505A"/>
      </a:dk2>
      <a:lt2>
        <a:srgbClr val="9DA6AB"/>
      </a:lt2>
      <a:accent1>
        <a:srgbClr val="C00848"/>
      </a:accent1>
      <a:accent2>
        <a:srgbClr val="F0532D"/>
      </a:accent2>
      <a:accent3>
        <a:srgbClr val="F79131"/>
      </a:accent3>
      <a:accent4>
        <a:srgbClr val="00A89C"/>
      </a:accent4>
      <a:accent5>
        <a:srgbClr val="2C72B3"/>
      </a:accent5>
      <a:accent6>
        <a:srgbClr val="29398F"/>
      </a:accent6>
      <a:hlink>
        <a:srgbClr val="F0532D"/>
      </a:hlink>
      <a:folHlink>
        <a:srgbClr val="F7913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37.xml"/><Relationship Id="rId2" Type="http://schemas.openxmlformats.org/officeDocument/2006/relationships/pivotTable" Target="../pivotTables/pivotTable36.xml"/><Relationship Id="rId1" Type="http://schemas.openxmlformats.org/officeDocument/2006/relationships/pivotTable" Target="../pivotTables/pivotTable35.xml"/><Relationship Id="rId4"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openxmlformats.org/officeDocument/2006/relationships/printerSettings" Target="../printerSettings/printerSettings3.bin"/><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drawing" Target="../drawings/drawing13.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22.xml"/><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25.xml"/><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pivotTable" Target="../pivotTables/pivotTable26.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29.xml"/><Relationship Id="rId2" Type="http://schemas.openxmlformats.org/officeDocument/2006/relationships/pivotTable" Target="../pivotTables/pivotTable28.xml"/><Relationship Id="rId1" Type="http://schemas.openxmlformats.org/officeDocument/2006/relationships/pivotTable" Target="../pivotTables/pivotTable27.xml"/><Relationship Id="rId4" Type="http://schemas.openxmlformats.org/officeDocument/2006/relationships/pivotTable" Target="../pivotTables/pivotTable30.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3.xml"/><Relationship Id="rId2" Type="http://schemas.openxmlformats.org/officeDocument/2006/relationships/pivotTable" Target="../pivotTables/pivotTable32.xml"/><Relationship Id="rId1" Type="http://schemas.openxmlformats.org/officeDocument/2006/relationships/pivotTable" Target="../pivotTables/pivotTable31.xml"/><Relationship Id="rId5" Type="http://schemas.openxmlformats.org/officeDocument/2006/relationships/printerSettings" Target="../printerSettings/printerSettings7.bin"/><Relationship Id="rId4" Type="http://schemas.openxmlformats.org/officeDocument/2006/relationships/pivotTable" Target="../pivotTables/pivotTable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259"/>
  <sheetViews>
    <sheetView showGridLines="0" tabSelected="1" zoomScale="90" zoomScaleNormal="90" workbookViewId="0">
      <pane ySplit="4" topLeftCell="A5" activePane="bottomLeft" state="frozen"/>
      <selection pane="bottomLeft" activeCell="AR270" sqref="AR270"/>
    </sheetView>
  </sheetViews>
  <sheetFormatPr defaultRowHeight="15" x14ac:dyDescent="0.25"/>
  <cols>
    <col min="1" max="1" width="1.7109375" customWidth="1"/>
    <col min="2" max="2" width="5.28515625" customWidth="1"/>
    <col min="3" max="3" width="33" customWidth="1"/>
    <col min="4" max="4" width="8.28515625" bestFit="1" customWidth="1"/>
    <col min="5" max="5" width="7.42578125" customWidth="1"/>
    <col min="6" max="6" width="9.85546875" customWidth="1"/>
    <col min="7" max="7" width="7.42578125" customWidth="1"/>
    <col min="8" max="8" width="8.7109375" customWidth="1"/>
    <col min="9" max="17" width="7.42578125" customWidth="1"/>
    <col min="18" max="18" width="2.85546875" customWidth="1"/>
    <col min="19" max="20" width="9.5703125" bestFit="1" customWidth="1"/>
    <col min="24" max="24" width="8.7109375" customWidth="1"/>
    <col min="25" max="25" width="2.140625" customWidth="1"/>
    <col min="26" max="26" width="9.140625" customWidth="1"/>
  </cols>
  <sheetData>
    <row r="2" spans="1:29" ht="84" customHeight="1" x14ac:dyDescent="0.25">
      <c r="C2" s="131" t="s">
        <v>326</v>
      </c>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row>
    <row r="4" spans="1:29" ht="15" customHeight="1" x14ac:dyDescent="0.35">
      <c r="C4" s="5"/>
      <c r="D4" s="23" t="s">
        <v>44</v>
      </c>
      <c r="E4" s="23" t="s">
        <v>45</v>
      </c>
      <c r="F4" s="23" t="s">
        <v>46</v>
      </c>
      <c r="G4" s="23" t="s">
        <v>47</v>
      </c>
      <c r="H4" s="23" t="s">
        <v>48</v>
      </c>
      <c r="I4" s="23" t="s">
        <v>49</v>
      </c>
      <c r="J4" s="23" t="s">
        <v>50</v>
      </c>
      <c r="K4" s="23" t="s">
        <v>51</v>
      </c>
      <c r="L4" s="23" t="s">
        <v>52</v>
      </c>
      <c r="M4" s="23" t="s">
        <v>53</v>
      </c>
      <c r="N4" s="23" t="s">
        <v>54</v>
      </c>
      <c r="O4" s="23" t="s">
        <v>55</v>
      </c>
      <c r="P4" s="23" t="s">
        <v>56</v>
      </c>
      <c r="Q4" s="23"/>
      <c r="S4" s="149" t="s">
        <v>28</v>
      </c>
      <c r="T4" s="149"/>
      <c r="U4" s="149"/>
      <c r="V4" s="149"/>
      <c r="W4" s="149"/>
      <c r="X4" s="149"/>
      <c r="Z4" s="149" t="s">
        <v>3</v>
      </c>
      <c r="AA4" s="149"/>
      <c r="AB4" s="149"/>
      <c r="AC4" s="149"/>
    </row>
    <row r="5" spans="1:29" ht="7.5" customHeight="1" x14ac:dyDescent="0.25">
      <c r="B5" s="6"/>
      <c r="C5" s="5"/>
      <c r="D5" s="24">
        <v>1</v>
      </c>
      <c r="E5" s="24">
        <v>2</v>
      </c>
      <c r="F5" s="24">
        <v>3</v>
      </c>
      <c r="G5" s="24">
        <v>4</v>
      </c>
      <c r="H5" s="24">
        <v>5</v>
      </c>
      <c r="I5" s="24">
        <v>6</v>
      </c>
      <c r="J5" s="24">
        <v>7</v>
      </c>
      <c r="K5" s="24">
        <v>8</v>
      </c>
      <c r="L5" s="24">
        <v>9</v>
      </c>
      <c r="M5" s="24">
        <v>10</v>
      </c>
      <c r="N5" s="24">
        <v>11</v>
      </c>
      <c r="O5" s="24">
        <v>12</v>
      </c>
      <c r="P5" s="24">
        <v>13</v>
      </c>
      <c r="Q5" s="24">
        <v>14</v>
      </c>
    </row>
    <row r="6" spans="1:29" ht="15" customHeight="1" x14ac:dyDescent="0.25">
      <c r="A6" s="105"/>
      <c r="B6" s="132" t="s">
        <v>2</v>
      </c>
      <c r="C6" s="1" t="s">
        <v>234</v>
      </c>
      <c r="D6" s="76">
        <v>25</v>
      </c>
      <c r="E6" s="76">
        <v>30</v>
      </c>
      <c r="F6" s="76">
        <v>15</v>
      </c>
      <c r="G6" s="76">
        <v>17</v>
      </c>
      <c r="H6" s="76">
        <v>17</v>
      </c>
      <c r="I6" s="76">
        <v>38</v>
      </c>
      <c r="J6" s="76">
        <v>35</v>
      </c>
      <c r="K6" s="76">
        <v>25</v>
      </c>
      <c r="L6" s="76">
        <v>13</v>
      </c>
      <c r="M6" s="76">
        <v>25</v>
      </c>
      <c r="N6" s="76">
        <v>17</v>
      </c>
      <c r="O6" s="76">
        <v>17</v>
      </c>
      <c r="P6" s="76">
        <v>18</v>
      </c>
      <c r="Q6" s="65"/>
      <c r="Z6" s="133" t="s">
        <v>26</v>
      </c>
      <c r="AA6" s="133"/>
      <c r="AB6" s="133"/>
      <c r="AC6" s="133"/>
    </row>
    <row r="7" spans="1:29" ht="7.5" customHeight="1" x14ac:dyDescent="0.25">
      <c r="A7" s="105"/>
      <c r="B7" s="132"/>
      <c r="C7" s="1"/>
      <c r="D7" s="24">
        <v>25</v>
      </c>
      <c r="E7" s="24">
        <v>30</v>
      </c>
      <c r="F7" s="24">
        <v>6</v>
      </c>
      <c r="G7" s="24">
        <v>39</v>
      </c>
      <c r="H7" s="24">
        <v>32</v>
      </c>
      <c r="I7" s="24">
        <v>6</v>
      </c>
      <c r="J7" s="24">
        <v>20</v>
      </c>
      <c r="K7" s="24">
        <v>43</v>
      </c>
      <c r="L7" s="24">
        <v>36</v>
      </c>
      <c r="M7" s="24">
        <v>30</v>
      </c>
      <c r="N7" s="24">
        <v>23</v>
      </c>
      <c r="O7" s="24">
        <v>13</v>
      </c>
      <c r="P7" s="24">
        <v>33</v>
      </c>
      <c r="Q7" s="65"/>
      <c r="Z7" s="133"/>
      <c r="AA7" s="133"/>
      <c r="AB7" s="133"/>
      <c r="AC7" s="133"/>
    </row>
    <row r="8" spans="1:29" x14ac:dyDescent="0.25">
      <c r="A8" s="105"/>
      <c r="B8" s="132"/>
      <c r="C8" s="16" t="s">
        <v>268</v>
      </c>
      <c r="D8" s="99">
        <f>IFERROR(VLOOKUP(D$4,'A&amp;E diverts'!$P$3:$X$16,2,FALSE),"")</f>
        <v>28</v>
      </c>
      <c r="E8" s="112">
        <f>IFERROR(VLOOKUP(E$4,'A&amp;E diverts'!$P$3:$X$16,2,FALSE),"")</f>
        <v>24</v>
      </c>
      <c r="F8" s="112">
        <f>IFERROR(VLOOKUP(F$4,'A&amp;E diverts'!$P$3:$X$16,2,FALSE),"")</f>
        <v>23</v>
      </c>
      <c r="G8" s="112">
        <f>IFERROR(VLOOKUP(G$4,'A&amp;E diverts'!$P$3:$X$16,2,FALSE),"")</f>
        <v>20</v>
      </c>
      <c r="H8" s="112">
        <f>IFERROR(VLOOKUP(H$4,'A&amp;E diverts'!$P$3:$X$16,2,FALSE),"")</f>
        <v>28</v>
      </c>
      <c r="I8" s="112">
        <f>IFERROR(VLOOKUP(I$4,'A&amp;E diverts'!$P$3:$X$16,2,FALSE),"")</f>
        <v>27</v>
      </c>
      <c r="J8" s="112">
        <f>IFERROR(VLOOKUP(J$4,'A&amp;E diverts'!$P$3:$X$16,2,FALSE),"")</f>
        <v>20</v>
      </c>
      <c r="K8" s="112">
        <f>IFERROR(VLOOKUP(K$4,'A&amp;E diverts'!$P$3:$X$16,2,FALSE),"")</f>
        <v>25</v>
      </c>
      <c r="L8" s="112">
        <f>IFERROR(VLOOKUP(L$4,'A&amp;E diverts'!$P$3:$X$16,2,FALSE),"")</f>
        <v>14</v>
      </c>
      <c r="M8" s="112">
        <f>IFERROR(VLOOKUP(M$4,'A&amp;E diverts'!$P$3:$X$16,2,FALSE),"")</f>
        <v>26</v>
      </c>
      <c r="N8" s="112">
        <f>IFERROR(VLOOKUP(N$4,'A&amp;E diverts'!$P$3:$X$16,2,FALSE),"")</f>
        <v>32</v>
      </c>
      <c r="O8" s="112">
        <f>IFERROR(VLOOKUP(O$4,'A&amp;E diverts'!$P$3:$X$16,2,FALSE),"")</f>
        <v>22</v>
      </c>
      <c r="P8" s="112">
        <f>IFERROR(VLOOKUP(P$4,'A&amp;E diverts'!$P$3:$X$16,2,FALSE),"")</f>
        <v>24</v>
      </c>
      <c r="Q8" s="74"/>
      <c r="Z8" s="133"/>
      <c r="AA8" s="133"/>
      <c r="AB8" s="133"/>
      <c r="AC8" s="133"/>
    </row>
    <row r="9" spans="1:29" x14ac:dyDescent="0.25">
      <c r="A9" s="105"/>
      <c r="B9" s="132"/>
      <c r="C9" s="1" t="s">
        <v>1</v>
      </c>
      <c r="D9" s="106">
        <f>IFERROR(VLOOKUP(D$4,'A&amp;E diverts'!$P$3:$X$16,3,FALSE),"")</f>
        <v>0</v>
      </c>
      <c r="E9" s="106">
        <f>IFERROR(VLOOKUP(E$4,'A&amp;E diverts'!$P$3:$X$16,3,FALSE),"")</f>
        <v>0</v>
      </c>
      <c r="F9" s="106">
        <f>IFERROR(VLOOKUP(F$4,'A&amp;E diverts'!$P$3:$X$16,3,FALSE),"")</f>
        <v>0</v>
      </c>
      <c r="G9" s="106">
        <f>IFERROR(VLOOKUP(G$4,'A&amp;E diverts'!$P$3:$X$16,3,FALSE),"")</f>
        <v>0</v>
      </c>
      <c r="H9" s="106">
        <f>IFERROR(VLOOKUP(H$4,'A&amp;E diverts'!$P$3:$X$16,3,FALSE),"")</f>
        <v>0</v>
      </c>
      <c r="I9" s="106">
        <f>IFERROR(VLOOKUP(I$4,'A&amp;E diverts'!$P$3:$X$16,3,FALSE),"")</f>
        <v>0</v>
      </c>
      <c r="J9" s="106">
        <f>IFERROR(VLOOKUP(J$4,'A&amp;E diverts'!$P$3:$X$16,3,FALSE),"")</f>
        <v>0</v>
      </c>
      <c r="K9" s="106">
        <f>IFERROR(VLOOKUP(K$4,'A&amp;E diverts'!$P$3:$X$16,3,FALSE),"")</f>
        <v>0</v>
      </c>
      <c r="L9" s="106">
        <f>IFERROR(VLOOKUP(L$4,'A&amp;E diverts'!$P$3:$X$16,3,FALSE),"")</f>
        <v>0</v>
      </c>
      <c r="M9" s="106">
        <f>IFERROR(VLOOKUP(M$4,'A&amp;E diverts'!$P$3:$X$16,3,FALSE),"")</f>
        <v>0</v>
      </c>
      <c r="N9" s="106">
        <f>IFERROR(VLOOKUP(N$4,'A&amp;E diverts'!$P$3:$X$16,3,FALSE),"")</f>
        <v>0</v>
      </c>
      <c r="O9" s="106">
        <f>IFERROR(VLOOKUP(O$4,'A&amp;E diverts'!$P$3:$X$16,3,FALSE),"")</f>
        <v>0</v>
      </c>
      <c r="P9" s="106">
        <f>IFERROR(VLOOKUP(P$4,'A&amp;E diverts'!$P$3:$X$16,3,FALSE),"")</f>
        <v>0</v>
      </c>
      <c r="Q9" s="75"/>
      <c r="Z9" s="133"/>
      <c r="AA9" s="133"/>
      <c r="AB9" s="133"/>
      <c r="AC9" s="133"/>
    </row>
    <row r="10" spans="1:29" x14ac:dyDescent="0.25">
      <c r="A10" s="105"/>
      <c r="B10" s="132"/>
      <c r="C10" s="1" t="s">
        <v>241</v>
      </c>
      <c r="D10" s="106">
        <f>IFERROR(VLOOKUP(D$4,'A&amp;E diverts'!$P$3:$X$16,4,FALSE),"")</f>
        <v>21</v>
      </c>
      <c r="E10" s="106">
        <f>IFERROR(VLOOKUP(E$4,'A&amp;E diverts'!$P$3:$X$16,4,FALSE),"")</f>
        <v>13</v>
      </c>
      <c r="F10" s="106">
        <f>IFERROR(VLOOKUP(F$4,'A&amp;E diverts'!$P$3:$X$16,4,FALSE),"")</f>
        <v>8</v>
      </c>
      <c r="G10" s="106">
        <f>IFERROR(VLOOKUP(G$4,'A&amp;E diverts'!$P$3:$X$16,4,FALSE),"")</f>
        <v>11</v>
      </c>
      <c r="H10" s="106">
        <f>IFERROR(VLOOKUP(H$4,'A&amp;E diverts'!$P$3:$X$16,4,FALSE),"")</f>
        <v>10</v>
      </c>
      <c r="I10" s="106">
        <f>IFERROR(VLOOKUP(I$4,'A&amp;E diverts'!$P$3:$X$16,4,FALSE),"")</f>
        <v>19</v>
      </c>
      <c r="J10" s="106">
        <f>IFERROR(VLOOKUP(J$4,'A&amp;E diverts'!$P$3:$X$16,4,FALSE),"")</f>
        <v>12</v>
      </c>
      <c r="K10" s="106">
        <f>IFERROR(VLOOKUP(K$4,'A&amp;E diverts'!$P$3:$X$16,4,FALSE),"")</f>
        <v>10</v>
      </c>
      <c r="L10" s="106">
        <f>IFERROR(VLOOKUP(L$4,'A&amp;E diverts'!$P$3:$X$16,4,FALSE),"")</f>
        <v>10</v>
      </c>
      <c r="M10" s="106">
        <f>IFERROR(VLOOKUP(M$4,'A&amp;E diverts'!$P$3:$X$16,4,FALSE),"")</f>
        <v>13</v>
      </c>
      <c r="N10" s="106">
        <f>IFERROR(VLOOKUP(N$4,'A&amp;E diverts'!$P$3:$X$16,4,FALSE),"")</f>
        <v>17</v>
      </c>
      <c r="O10" s="106">
        <f>IFERROR(VLOOKUP(O$4,'A&amp;E diverts'!$P$3:$X$16,4,FALSE),"")</f>
        <v>11</v>
      </c>
      <c r="P10" s="106">
        <f>IFERROR(VLOOKUP(P$4,'A&amp;E diverts'!$P$3:$X$16,4,FALSE),"")</f>
        <v>14</v>
      </c>
      <c r="Q10" s="75" t="str">
        <f>IFERROR(VLOOKUP(Q$4,'A&amp;E diverts'!$P$3:$W$17,4,FALSE),"")</f>
        <v/>
      </c>
      <c r="Z10" s="130" t="s">
        <v>269</v>
      </c>
      <c r="AA10" s="130"/>
      <c r="AB10" s="130"/>
      <c r="AC10" s="130"/>
    </row>
    <row r="11" spans="1:29" x14ac:dyDescent="0.25">
      <c r="A11" s="105"/>
      <c r="B11" s="132"/>
      <c r="C11" s="1" t="s">
        <v>281</v>
      </c>
      <c r="D11" s="106">
        <f>IFERROR(VLOOKUP(D$4,'A&amp;E diverts'!$P$3:$X$16,8,FALSE),"")</f>
        <v>0</v>
      </c>
      <c r="E11" s="106">
        <f>IFERROR(VLOOKUP(E$4,'A&amp;E diverts'!$P$3:$X$16,8,FALSE),"")</f>
        <v>0</v>
      </c>
      <c r="F11" s="106">
        <f>IFERROR(VLOOKUP(F$4,'A&amp;E diverts'!$P$3:$X$16,8,FALSE),"")</f>
        <v>0</v>
      </c>
      <c r="G11" s="106">
        <f>IFERROR(VLOOKUP(G$4,'A&amp;E diverts'!$P$3:$X$16,8,FALSE),"")</f>
        <v>0</v>
      </c>
      <c r="H11" s="106">
        <f>IFERROR(VLOOKUP(H$4,'A&amp;E diverts'!$P$3:$X$16,8,FALSE),"")</f>
        <v>3</v>
      </c>
      <c r="I11" s="106">
        <f>IFERROR(VLOOKUP(I$4,'A&amp;E diverts'!$P$3:$X$16,8,FALSE),"")</f>
        <v>0</v>
      </c>
      <c r="J11" s="106">
        <f>IFERROR(VLOOKUP(J$4,'A&amp;E diverts'!$P$3:$X$16,8,FALSE),"")</f>
        <v>0</v>
      </c>
      <c r="K11" s="106">
        <f>IFERROR(VLOOKUP(K$4,'A&amp;E diverts'!$P$3:$X$16,8,FALSE),"")</f>
        <v>0</v>
      </c>
      <c r="L11" s="106">
        <f>IFERROR(VLOOKUP(L$4,'A&amp;E diverts'!$P$3:$X$16,8,FALSE),"")</f>
        <v>0</v>
      </c>
      <c r="M11" s="106">
        <f>IFERROR(VLOOKUP(M$4,'A&amp;E diverts'!$P$3:$X$16,8,FALSE),"")</f>
        <v>0</v>
      </c>
      <c r="N11" s="106">
        <f>IFERROR(VLOOKUP(N$4,'A&amp;E diverts'!$P$3:$X$16,8,FALSE),"")</f>
        <v>0</v>
      </c>
      <c r="O11" s="106">
        <f>IFERROR(VLOOKUP(O$4,'A&amp;E diverts'!$P$3:$X$16,8,FALSE),"")</f>
        <v>0</v>
      </c>
      <c r="P11" s="106">
        <f>IFERROR(VLOOKUP(P$4,'A&amp;E diverts'!$P$3:$X$16,8,FALSE),"")</f>
        <v>0</v>
      </c>
      <c r="Q11" s="75"/>
      <c r="Z11" s="130"/>
      <c r="AA11" s="130"/>
      <c r="AB11" s="130"/>
      <c r="AC11" s="130"/>
    </row>
    <row r="12" spans="1:29" x14ac:dyDescent="0.25">
      <c r="A12" s="105"/>
      <c r="B12" s="132"/>
      <c r="C12" s="1" t="s">
        <v>282</v>
      </c>
      <c r="D12" s="106">
        <f>IFERROR(VLOOKUP(D$4,'A&amp;E diverts'!$P$3:$X$16,5,FALSE),"")</f>
        <v>6</v>
      </c>
      <c r="E12" s="106">
        <f>IFERROR(VLOOKUP(E$4,'A&amp;E diverts'!$P$3:$X$16,5,FALSE),"")</f>
        <v>8</v>
      </c>
      <c r="F12" s="106">
        <f>IFERROR(VLOOKUP(F$4,'A&amp;E diverts'!$P$3:$X$16,5,FALSE),"")</f>
        <v>10</v>
      </c>
      <c r="G12" s="106">
        <f>IFERROR(VLOOKUP(G$4,'A&amp;E diverts'!$P$3:$X$16,5,FALSE),"")</f>
        <v>1</v>
      </c>
      <c r="H12" s="106">
        <f>IFERROR(VLOOKUP(H$4,'A&amp;E diverts'!$P$3:$X$16,5,FALSE),"")</f>
        <v>5</v>
      </c>
      <c r="I12" s="106">
        <f>IFERROR(VLOOKUP(I$4,'A&amp;E diverts'!$P$3:$X$16,5,FALSE),"")</f>
        <v>3</v>
      </c>
      <c r="J12" s="106">
        <f>IFERROR(VLOOKUP(J$4,'A&amp;E diverts'!$P$3:$X$16,5,FALSE),"")</f>
        <v>3</v>
      </c>
      <c r="K12" s="106">
        <f>IFERROR(VLOOKUP(K$4,'A&amp;E diverts'!$P$3:$X$16,5,FALSE),"")</f>
        <v>5</v>
      </c>
      <c r="L12" s="106">
        <f>IFERROR(VLOOKUP(L$4,'A&amp;E diverts'!$P$3:$X$16,5,FALSE),"")</f>
        <v>2</v>
      </c>
      <c r="M12" s="106">
        <f>IFERROR(VLOOKUP(M$4,'A&amp;E diverts'!$P$3:$X$16,5,FALSE),"")</f>
        <v>0</v>
      </c>
      <c r="N12" s="106">
        <f>IFERROR(VLOOKUP(N$4,'A&amp;E diverts'!$P$3:$X$16,5,FALSE),"")</f>
        <v>1</v>
      </c>
      <c r="O12" s="106">
        <f>IFERROR(VLOOKUP(O$4,'A&amp;E diverts'!$P$3:$X$16,5,FALSE),"")</f>
        <v>9</v>
      </c>
      <c r="P12" s="106">
        <f>IFERROR(VLOOKUP(P$4,'A&amp;E diverts'!$P$3:$X$16,5,FALSE),"")</f>
        <v>8</v>
      </c>
      <c r="Q12" s="75"/>
      <c r="Z12" s="130"/>
      <c r="AA12" s="130"/>
      <c r="AB12" s="130"/>
      <c r="AC12" s="130"/>
    </row>
    <row r="13" spans="1:29" x14ac:dyDescent="0.25">
      <c r="A13" s="105"/>
      <c r="B13" s="132"/>
      <c r="C13" s="1" t="s">
        <v>283</v>
      </c>
      <c r="D13" s="106">
        <f>IFERROR(VLOOKUP(D$4,'A&amp;E diverts'!$P$3:$X$16,9,FALSE),"")</f>
        <v>0</v>
      </c>
      <c r="E13" s="106">
        <f>IFERROR(VLOOKUP(E$4,'A&amp;E diverts'!$P$3:$X$16,9,FALSE),"")</f>
        <v>1</v>
      </c>
      <c r="F13" s="106">
        <f>IFERROR(VLOOKUP(F$4,'A&amp;E diverts'!$P$3:$X$16,9,FALSE),"")</f>
        <v>4</v>
      </c>
      <c r="G13" s="106">
        <f>IFERROR(VLOOKUP(G$4,'A&amp;E diverts'!$P$3:$X$16,9,FALSE),"")</f>
        <v>7</v>
      </c>
      <c r="H13" s="106">
        <f>IFERROR(VLOOKUP(H$4,'A&amp;E diverts'!$P$3:$X$16,9,FALSE),"")</f>
        <v>2</v>
      </c>
      <c r="I13" s="106">
        <f>IFERROR(VLOOKUP(I$4,'A&amp;E diverts'!$P$3:$X$16,9,FALSE),"")</f>
        <v>2</v>
      </c>
      <c r="J13" s="106">
        <f>IFERROR(VLOOKUP(J$4,'A&amp;E diverts'!$P$3:$X$16,9,FALSE),"")</f>
        <v>2</v>
      </c>
      <c r="K13" s="106">
        <f>IFERROR(VLOOKUP(K$4,'A&amp;E diverts'!$P$3:$X$16,9,FALSE),"")</f>
        <v>5</v>
      </c>
      <c r="L13" s="106">
        <f>IFERROR(VLOOKUP(L$4,'A&amp;E diverts'!$P$3:$X$16,9,FALSE),"")</f>
        <v>0</v>
      </c>
      <c r="M13" s="106">
        <f>IFERROR(VLOOKUP(M$4,'A&amp;E diverts'!$P$3:$X$16,9,FALSE),"")</f>
        <v>8</v>
      </c>
      <c r="N13" s="106">
        <f>IFERROR(VLOOKUP(N$4,'A&amp;E diverts'!$P$3:$X$16,9,FALSE),"")</f>
        <v>2</v>
      </c>
      <c r="O13" s="106">
        <f>IFERROR(VLOOKUP(O$4,'A&amp;E diverts'!$P$3:$X$16,9,FALSE),"")</f>
        <v>1</v>
      </c>
      <c r="P13" s="106">
        <f>IFERROR(VLOOKUP(P$4,'A&amp;E diverts'!$P$3:$X$16,9,FALSE),"")</f>
        <v>0</v>
      </c>
      <c r="Q13" s="75" t="str">
        <f>IFERROR(VLOOKUP(Q$4,'A&amp;E diverts'!$P$3:$W$17,5,FALSE),"")</f>
        <v/>
      </c>
      <c r="Z13" s="130"/>
      <c r="AA13" s="130"/>
      <c r="AB13" s="130"/>
      <c r="AC13" s="130"/>
    </row>
    <row r="14" spans="1:29" x14ac:dyDescent="0.25">
      <c r="A14" s="105"/>
      <c r="B14" s="132"/>
      <c r="C14" s="1" t="s">
        <v>238</v>
      </c>
      <c r="D14" s="106">
        <f>IFERROR(VLOOKUP(D$4,'A&amp;E diverts'!$P$3:$X$16,6,FALSE),"")</f>
        <v>0</v>
      </c>
      <c r="E14" s="106">
        <f>IFERROR(VLOOKUP(E$4,'A&amp;E diverts'!$P$3:$X$16,6,FALSE),"")</f>
        <v>1</v>
      </c>
      <c r="F14" s="106">
        <f>IFERROR(VLOOKUP(F$4,'A&amp;E diverts'!$P$3:$X$16,6,FALSE),"")</f>
        <v>1</v>
      </c>
      <c r="G14" s="106">
        <f>IFERROR(VLOOKUP(G$4,'A&amp;E diverts'!$P$3:$X$16,6,FALSE),"")</f>
        <v>0</v>
      </c>
      <c r="H14" s="106">
        <f>IFERROR(VLOOKUP(H$4,'A&amp;E diverts'!$P$3:$X$16,6,FALSE),"")</f>
        <v>5</v>
      </c>
      <c r="I14" s="106">
        <f>IFERROR(VLOOKUP(I$4,'A&amp;E diverts'!$P$3:$X$16,6,FALSE),"")</f>
        <v>2</v>
      </c>
      <c r="J14" s="106">
        <f>IFERROR(VLOOKUP(J$4,'A&amp;E diverts'!$P$3:$X$16,6,FALSE),"")</f>
        <v>1</v>
      </c>
      <c r="K14" s="106">
        <f>IFERROR(VLOOKUP(K$4,'A&amp;E diverts'!$P$3:$X$16,6,FALSE),"")</f>
        <v>2</v>
      </c>
      <c r="L14" s="106">
        <f>IFERROR(VLOOKUP(L$4,'A&amp;E diverts'!$P$3:$X$16,6,FALSE),"")</f>
        <v>2</v>
      </c>
      <c r="M14" s="106">
        <f>IFERROR(VLOOKUP(M$4,'A&amp;E diverts'!$P$3:$X$16,6,FALSE),"")</f>
        <v>3</v>
      </c>
      <c r="N14" s="106">
        <f>IFERROR(VLOOKUP(N$4,'A&amp;E diverts'!$P$3:$X$16,6,FALSE),"")</f>
        <v>10</v>
      </c>
      <c r="O14" s="106">
        <f>IFERROR(VLOOKUP(O$4,'A&amp;E diverts'!$P$3:$X$16,6,FALSE),"")</f>
        <v>0</v>
      </c>
      <c r="P14" s="106">
        <f>IFERROR(VLOOKUP(P$4,'A&amp;E diverts'!$P$3:$X$16,6,FALSE),"")</f>
        <v>1</v>
      </c>
      <c r="Q14" s="75" t="str">
        <f>IFERROR(VLOOKUP(Q$4,'A&amp;E diverts'!$P$3:$W$17,6,FALSE),"")</f>
        <v/>
      </c>
      <c r="Z14" s="130"/>
      <c r="AA14" s="130"/>
      <c r="AB14" s="130"/>
      <c r="AC14" s="130"/>
    </row>
    <row r="15" spans="1:29" x14ac:dyDescent="0.25">
      <c r="A15" s="105"/>
      <c r="B15" s="132"/>
      <c r="C15" s="11" t="s">
        <v>239</v>
      </c>
      <c r="D15" s="106">
        <f>IFERROR(VLOOKUP(D$4,'A&amp;E diverts'!$P$3:$X$16,7,FALSE),"")</f>
        <v>1</v>
      </c>
      <c r="E15" s="106">
        <f>IFERROR(VLOOKUP(E$4,'A&amp;E diverts'!$P$3:$X$16,7,FALSE),"")</f>
        <v>1</v>
      </c>
      <c r="F15" s="106">
        <f>IFERROR(VLOOKUP(F$4,'A&amp;E diverts'!$P$3:$X$16,7,FALSE),"")</f>
        <v>0</v>
      </c>
      <c r="G15" s="106">
        <f>IFERROR(VLOOKUP(G$4,'A&amp;E diverts'!$P$3:$X$16,7,FALSE),"")</f>
        <v>1</v>
      </c>
      <c r="H15" s="106">
        <f>IFERROR(VLOOKUP(H$4,'A&amp;E diverts'!$P$3:$X$16,7,FALSE),"")</f>
        <v>3</v>
      </c>
      <c r="I15" s="106">
        <f>IFERROR(VLOOKUP(I$4,'A&amp;E diverts'!$P$3:$X$16,7,FALSE),"")</f>
        <v>1</v>
      </c>
      <c r="J15" s="106">
        <f>IFERROR(VLOOKUP(J$4,'A&amp;E diverts'!$P$3:$X$16,7,FALSE),"")</f>
        <v>2</v>
      </c>
      <c r="K15" s="106">
        <f>IFERROR(VLOOKUP(K$4,'A&amp;E diverts'!$P$3:$X$16,7,FALSE),"")</f>
        <v>3</v>
      </c>
      <c r="L15" s="106">
        <f>IFERROR(VLOOKUP(L$4,'A&amp;E diverts'!$P$3:$X$16,7,FALSE),"")</f>
        <v>0</v>
      </c>
      <c r="M15" s="106">
        <f>IFERROR(VLOOKUP(M$4,'A&amp;E diverts'!$P$3:$X$16,7,FALSE),"")</f>
        <v>2</v>
      </c>
      <c r="N15" s="106">
        <f>IFERROR(VLOOKUP(N$4,'A&amp;E diverts'!$P$3:$X$16,7,FALSE),"")</f>
        <v>2</v>
      </c>
      <c r="O15" s="106">
        <f>IFERROR(VLOOKUP(O$4,'A&amp;E diverts'!$P$3:$X$16,7,FALSE),"")</f>
        <v>1</v>
      </c>
      <c r="P15" s="106">
        <f>IFERROR(VLOOKUP(P$4,'A&amp;E diverts'!$P$3:$X$16,7,FALSE),"")</f>
        <v>1</v>
      </c>
      <c r="Q15" s="75" t="str">
        <f>IFERROR(VLOOKUP(Q$4,'A&amp;E diverts'!$P$3:$W$17,7,FALSE),"")</f>
        <v/>
      </c>
      <c r="Z15" s="130"/>
      <c r="AA15" s="130"/>
      <c r="AB15" s="130"/>
      <c r="AC15" s="130"/>
    </row>
    <row r="16" spans="1:29" ht="7.5" customHeight="1" x14ac:dyDescent="0.25">
      <c r="A16" s="105"/>
      <c r="B16" s="132"/>
      <c r="Z16" s="130"/>
      <c r="AA16" s="130"/>
      <c r="AB16" s="130"/>
      <c r="AC16" s="130"/>
    </row>
    <row r="17" spans="1:31" x14ac:dyDescent="0.25">
      <c r="A17" s="105"/>
      <c r="B17" s="132"/>
      <c r="C17" s="1" t="s">
        <v>27</v>
      </c>
      <c r="D17" s="141" t="s">
        <v>234</v>
      </c>
      <c r="E17" s="142"/>
      <c r="F17" s="143"/>
      <c r="G17" s="134" t="s">
        <v>274</v>
      </c>
      <c r="H17" s="134"/>
      <c r="I17" s="134"/>
      <c r="J17" s="134"/>
      <c r="K17" s="135" t="s">
        <v>268</v>
      </c>
      <c r="L17" s="135"/>
      <c r="M17" s="135"/>
      <c r="N17" s="144" t="str">
        <f>'A&amp;E diverts'!AD5&amp;" ("&amp;TEXT('A&amp;E diverts'!AD7,"d-mmm")&amp;")"</f>
        <v>10 (21-Dec)</v>
      </c>
      <c r="O17" s="144"/>
      <c r="P17" s="144"/>
      <c r="Q17" s="77"/>
      <c r="Z17" s="130"/>
      <c r="AA17" s="130"/>
      <c r="AB17" s="130"/>
      <c r="AC17" s="130"/>
    </row>
    <row r="18" spans="1:31" ht="7.5" customHeight="1" x14ac:dyDescent="0.25">
      <c r="A18" s="105"/>
      <c r="B18" s="132"/>
      <c r="C18" s="1"/>
      <c r="K18" s="4"/>
      <c r="L18" s="4"/>
      <c r="M18" s="4"/>
      <c r="N18" s="4"/>
      <c r="O18" s="4"/>
      <c r="P18" s="4"/>
      <c r="Q18" s="78"/>
      <c r="Z18" s="130"/>
      <c r="AA18" s="130"/>
      <c r="AB18" s="130"/>
      <c r="AC18" s="130"/>
    </row>
    <row r="19" spans="1:31" x14ac:dyDescent="0.25">
      <c r="A19" s="105"/>
      <c r="B19" s="132"/>
      <c r="C19" s="1" t="s">
        <v>25</v>
      </c>
      <c r="D19" s="134" t="s">
        <v>234</v>
      </c>
      <c r="E19" s="134"/>
      <c r="F19" s="134"/>
      <c r="G19" s="134" t="s">
        <v>275</v>
      </c>
      <c r="H19" s="134"/>
      <c r="I19" s="134"/>
      <c r="J19" s="134"/>
      <c r="K19" s="135" t="s">
        <v>268</v>
      </c>
      <c r="L19" s="135"/>
      <c r="M19" s="135"/>
      <c r="N19" s="144" t="str">
        <f>'A&amp;E diverts'!AI5&amp;" out of "&amp;'A&amp;E diverts'!AI6&amp;" ("&amp;TEXT('A&amp;E diverts'!AI7,"0%")&amp;")"</f>
        <v>4 out of 91 (4%)</v>
      </c>
      <c r="O19" s="144"/>
      <c r="P19" s="144"/>
      <c r="Q19" s="77"/>
      <c r="R19" s="59"/>
      <c r="Z19" s="130"/>
      <c r="AA19" s="130"/>
      <c r="AB19" s="130"/>
      <c r="AC19" s="130"/>
      <c r="AE19" s="39"/>
    </row>
    <row r="20" spans="1:31" ht="30" customHeight="1" x14ac:dyDescent="0.25">
      <c r="C20" s="1"/>
    </row>
    <row r="21" spans="1:31" ht="15" customHeight="1" x14ac:dyDescent="0.25">
      <c r="B21" s="132" t="s">
        <v>218</v>
      </c>
      <c r="C21" s="12" t="s">
        <v>264</v>
      </c>
      <c r="D21" s="128">
        <v>93650.428571428565</v>
      </c>
      <c r="E21" s="128">
        <v>93161.71428571429</v>
      </c>
      <c r="F21" s="128">
        <v>92488.71428571429</v>
      </c>
      <c r="G21" s="128">
        <v>93346.71428571429</v>
      </c>
      <c r="H21" s="128">
        <v>93925.857142857145</v>
      </c>
      <c r="I21" s="128">
        <v>94001.571428571435</v>
      </c>
      <c r="J21" s="128">
        <v>93775.71428571429</v>
      </c>
      <c r="K21" s="128">
        <v>93805.28571428571</v>
      </c>
      <c r="L21" s="128">
        <v>94035.71428571429</v>
      </c>
      <c r="M21" s="128">
        <v>93641</v>
      </c>
      <c r="N21" s="128">
        <v>93906.571428571435</v>
      </c>
      <c r="O21" s="128">
        <v>94013.142857142855</v>
      </c>
      <c r="P21" s="128">
        <v>93559.428571428565</v>
      </c>
    </row>
    <row r="22" spans="1:31" ht="15" customHeight="1" x14ac:dyDescent="0.25">
      <c r="B22" s="132"/>
      <c r="C22" s="1" t="s">
        <v>234</v>
      </c>
      <c r="D22" s="14">
        <v>93649.571428571435</v>
      </c>
      <c r="E22" s="14">
        <v>93473.142857142855</v>
      </c>
      <c r="F22" s="14">
        <v>93407.857142857145</v>
      </c>
      <c r="G22" s="14">
        <v>92975.571428571435</v>
      </c>
      <c r="H22" s="14">
        <v>93152.428571428565</v>
      </c>
      <c r="I22" s="14">
        <v>93636.28571428571</v>
      </c>
      <c r="J22" s="14">
        <v>93877.142857142855</v>
      </c>
      <c r="K22" s="14">
        <v>93919.28571428571</v>
      </c>
      <c r="L22" s="14">
        <v>94246.428571428565</v>
      </c>
      <c r="M22" s="14">
        <v>94095.857142857145</v>
      </c>
      <c r="N22" s="14">
        <v>94323</v>
      </c>
      <c r="O22" s="14">
        <v>94216.428571428565</v>
      </c>
      <c r="P22" s="14">
        <v>94254.28571428571</v>
      </c>
      <c r="Z22" s="133" t="s">
        <v>233</v>
      </c>
      <c r="AA22" s="133"/>
      <c r="AB22" s="133"/>
      <c r="AC22" s="133"/>
    </row>
    <row r="23" spans="1:31" ht="7.5" customHeight="1" x14ac:dyDescent="0.25">
      <c r="B23" s="132"/>
      <c r="C23" s="1"/>
      <c r="D23" s="31">
        <v>0.85</v>
      </c>
      <c r="E23" s="31">
        <v>0.85</v>
      </c>
      <c r="F23" s="31">
        <v>0.85</v>
      </c>
      <c r="G23" s="31">
        <v>0.85</v>
      </c>
      <c r="H23" s="31">
        <v>0.85</v>
      </c>
      <c r="I23" s="31">
        <v>0.85</v>
      </c>
      <c r="J23" s="31">
        <v>0.85</v>
      </c>
      <c r="K23" s="31">
        <v>0.85</v>
      </c>
      <c r="L23" s="31">
        <v>0.85</v>
      </c>
      <c r="M23" s="31">
        <v>0.85</v>
      </c>
      <c r="N23" s="31">
        <v>0.85</v>
      </c>
      <c r="O23" s="31">
        <v>0.85</v>
      </c>
      <c r="P23" s="31">
        <v>0.85</v>
      </c>
      <c r="Q23" s="31">
        <v>0.85</v>
      </c>
      <c r="Z23" s="133"/>
      <c r="AA23" s="133"/>
      <c r="AB23" s="133"/>
      <c r="AC23" s="133"/>
    </row>
    <row r="24" spans="1:31" x14ac:dyDescent="0.25">
      <c r="B24" s="132"/>
      <c r="C24" s="16" t="s">
        <v>268</v>
      </c>
      <c r="D24" s="67">
        <f>IFERROR(VLOOKUP(D$4,'G&amp;A bed avail.'!$AW$5:$BE$18,2,FALSE),"")</f>
        <v>93502.857142857145</v>
      </c>
      <c r="E24" s="67">
        <f>IFERROR(VLOOKUP(E$4,'G&amp;A bed avail.'!$AW$5:$BE$18,2,FALSE),"")</f>
        <v>93719</v>
      </c>
      <c r="F24" s="67">
        <f>IFERROR(VLOOKUP(F$4,'G&amp;A bed avail.'!$AW$5:$BE$18,2,FALSE),"")</f>
        <v>93699.28571428571</v>
      </c>
      <c r="G24" s="67">
        <f>IFERROR(VLOOKUP(G$4,'G&amp;A bed avail.'!$AW$5:$BE$18,2,FALSE),"")</f>
        <v>93230.428571428565</v>
      </c>
      <c r="H24" s="67">
        <f>IFERROR(VLOOKUP(H$4,'G&amp;A bed avail.'!$AW$5:$BE$18,2,FALSE),"")</f>
        <v>93207.71428571429</v>
      </c>
      <c r="I24" s="67">
        <f>IFERROR(VLOOKUP(I$4,'G&amp;A bed avail.'!$AW$5:$BE$18,2,FALSE),"")</f>
        <v>93977</v>
      </c>
      <c r="J24" s="67">
        <f>IFERROR(VLOOKUP(J$4,'G&amp;A bed avail.'!$AW$5:$BE$18,2,FALSE),"")</f>
        <v>94063.28571428571</v>
      </c>
      <c r="K24" s="67">
        <f>IFERROR(VLOOKUP(K$4,'G&amp;A bed avail.'!$AW$5:$BE$18,2,FALSE),"")</f>
        <v>94130.142857142855</v>
      </c>
      <c r="L24" s="67">
        <f>IFERROR(VLOOKUP(L$4,'G&amp;A bed avail.'!$AW$5:$BE$18,2,FALSE),"")</f>
        <v>93986.71428571429</v>
      </c>
      <c r="M24" s="67">
        <f>IFERROR(VLOOKUP(M$4,'G&amp;A bed avail.'!$AW$5:$BE$18,2,FALSE),"")</f>
        <v>93993.857142857145</v>
      </c>
      <c r="N24" s="67">
        <f>IFERROR(VLOOKUP(N$4,'G&amp;A bed avail.'!$AW$5:$BE$18,2,FALSE),"")</f>
        <v>94272</v>
      </c>
      <c r="O24" s="67">
        <f>IFERROR(VLOOKUP(O$4,'G&amp;A bed avail.'!$AW$5:$BE$18,2,FALSE),"")</f>
        <v>94287.71428571429</v>
      </c>
      <c r="P24" s="67">
        <f>IFERROR(VLOOKUP(P$4,'G&amp;A bed avail.'!$AW$5:$BE$18,2,FALSE),"")</f>
        <v>94002.71428571429</v>
      </c>
      <c r="Q24" s="79" t="str">
        <f>IFERROR(VLOOKUP(Q$4,'G&amp;A bed avail.'!$AW$5:$BD$19,2,FALSE),"")</f>
        <v/>
      </c>
      <c r="R24" s="2"/>
      <c r="Z24" s="133"/>
      <c r="AA24" s="133"/>
      <c r="AB24" s="133"/>
      <c r="AC24" s="133"/>
    </row>
    <row r="25" spans="1:31" x14ac:dyDescent="0.25">
      <c r="B25" s="132"/>
      <c r="C25" s="1" t="s">
        <v>1</v>
      </c>
      <c r="D25" s="107">
        <f>IFERROR(VLOOKUP(D$4,'G&amp;A bed avail.'!$AW$5:$BE$18,3,FALSE),"")</f>
        <v>13533.285714285714</v>
      </c>
      <c r="E25" s="107">
        <f>IFERROR(VLOOKUP(E$4,'G&amp;A bed avail.'!$AW$5:$BE$18,3,FALSE),"")</f>
        <v>13575.285714285714</v>
      </c>
      <c r="F25" s="107">
        <f>IFERROR(VLOOKUP(F$4,'G&amp;A bed avail.'!$AW$5:$BE$18,3,FALSE),"")</f>
        <v>13557.285714285714</v>
      </c>
      <c r="G25" s="107">
        <f>IFERROR(VLOOKUP(G$4,'G&amp;A bed avail.'!$AW$5:$BE$18,3,FALSE),"")</f>
        <v>13443</v>
      </c>
      <c r="H25" s="107">
        <f>IFERROR(VLOOKUP(H$4,'G&amp;A bed avail.'!$AW$5:$BE$18,3,FALSE),"")</f>
        <v>13504.714285714286</v>
      </c>
      <c r="I25" s="107">
        <f>IFERROR(VLOOKUP(I$4,'G&amp;A bed avail.'!$AW$5:$BE$18,3,FALSE),"")</f>
        <v>13624.857142857143</v>
      </c>
      <c r="J25" s="107">
        <f>IFERROR(VLOOKUP(J$4,'G&amp;A bed avail.'!$AW$5:$BE$18,3,FALSE),"")</f>
        <v>13660</v>
      </c>
      <c r="K25" s="107">
        <f>IFERROR(VLOOKUP(K$4,'G&amp;A bed avail.'!$AW$5:$BE$18,3,FALSE),"")</f>
        <v>13679.285714285714</v>
      </c>
      <c r="L25" s="107">
        <f>IFERROR(VLOOKUP(L$4,'G&amp;A bed avail.'!$AW$5:$BE$18,3,FALSE),"")</f>
        <v>13692.571428571429</v>
      </c>
      <c r="M25" s="107">
        <f>IFERROR(VLOOKUP(M$4,'G&amp;A bed avail.'!$AW$5:$BE$18,3,FALSE),"")</f>
        <v>13666.285714285714</v>
      </c>
      <c r="N25" s="107">
        <f>IFERROR(VLOOKUP(N$4,'G&amp;A bed avail.'!$AW$5:$BE$18,3,FALSE),"")</f>
        <v>13699.714285714286</v>
      </c>
      <c r="O25" s="107">
        <f>IFERROR(VLOOKUP(O$4,'G&amp;A bed avail.'!$AW$5:$BE$18,3,FALSE),"")</f>
        <v>13611.142857142857</v>
      </c>
      <c r="P25" s="107">
        <f>IFERROR(VLOOKUP(P$4,'G&amp;A bed avail.'!$AW$5:$BE$18,3,FALSE),"")</f>
        <v>13315.142857142857</v>
      </c>
      <c r="Q25" s="80" t="str">
        <f>IFERROR(VLOOKUP(Q$4,'G&amp;A bed avail.'!$AW$5:$BD$19,3,FALSE),"")</f>
        <v/>
      </c>
      <c r="Z25" s="133"/>
      <c r="AA25" s="133"/>
      <c r="AB25" s="133"/>
      <c r="AC25" s="133"/>
    </row>
    <row r="26" spans="1:31" ht="15" customHeight="1" x14ac:dyDescent="0.25">
      <c r="B26" s="132"/>
      <c r="C26" s="1" t="s">
        <v>241</v>
      </c>
      <c r="D26" s="107">
        <f>IFERROR(VLOOKUP(D$4,'G&amp;A bed avail.'!$AW$5:$BE$18,4,FALSE),"")</f>
        <v>17505.857142857141</v>
      </c>
      <c r="E26" s="107">
        <f>IFERROR(VLOOKUP(E$4,'G&amp;A bed avail.'!$AW$5:$BE$18,4,FALSE),"")</f>
        <v>17521.428571428572</v>
      </c>
      <c r="F26" s="107">
        <f>IFERROR(VLOOKUP(F$4,'G&amp;A bed avail.'!$AW$5:$BE$18,4,FALSE),"")</f>
        <v>17521.857142857141</v>
      </c>
      <c r="G26" s="107">
        <f>IFERROR(VLOOKUP(G$4,'G&amp;A bed avail.'!$AW$5:$BE$18,4,FALSE),"")</f>
        <v>17456.142857142859</v>
      </c>
      <c r="H26" s="107">
        <f>IFERROR(VLOOKUP(H$4,'G&amp;A bed avail.'!$AW$5:$BE$18,4,FALSE),"")</f>
        <v>17136.857142857141</v>
      </c>
      <c r="I26" s="107">
        <f>IFERROR(VLOOKUP(I$4,'G&amp;A bed avail.'!$AW$5:$BE$18,4,FALSE),"")</f>
        <v>17535.571428571428</v>
      </c>
      <c r="J26" s="107">
        <f>IFERROR(VLOOKUP(J$4,'G&amp;A bed avail.'!$AW$5:$BE$18,4,FALSE),"")</f>
        <v>17568.857142857141</v>
      </c>
      <c r="K26" s="107">
        <f>IFERROR(VLOOKUP(K$4,'G&amp;A bed avail.'!$AW$5:$BE$18,4,FALSE),"")</f>
        <v>17560.857142857141</v>
      </c>
      <c r="L26" s="107">
        <f>IFERROR(VLOOKUP(L$4,'G&amp;A bed avail.'!$AW$5:$BE$18,4,FALSE),"")</f>
        <v>17336.142857142859</v>
      </c>
      <c r="M26" s="107">
        <f>IFERROR(VLOOKUP(M$4,'G&amp;A bed avail.'!$AW$5:$BE$18,4,FALSE),"")</f>
        <v>17540</v>
      </c>
      <c r="N26" s="107">
        <f>IFERROR(VLOOKUP(N$4,'G&amp;A bed avail.'!$AW$5:$BE$18,4,FALSE),"")</f>
        <v>17616.285714285714</v>
      </c>
      <c r="O26" s="107">
        <f>IFERROR(VLOOKUP(O$4,'G&amp;A bed avail.'!$AW$5:$BE$18,4,FALSE),"")</f>
        <v>17708.714285714286</v>
      </c>
      <c r="P26" s="107">
        <f>IFERROR(VLOOKUP(P$4,'G&amp;A bed avail.'!$AW$5:$BE$18,4,FALSE),"")</f>
        <v>17708.142857142859</v>
      </c>
      <c r="Q26" s="80" t="str">
        <f>IFERROR(VLOOKUP(Q$4,'G&amp;A bed avail.'!$AW$5:$BD$19,4,FALSE),"")</f>
        <v/>
      </c>
      <c r="Z26" s="130" t="s">
        <v>270</v>
      </c>
      <c r="AA26" s="130"/>
      <c r="AB26" s="130"/>
      <c r="AC26" s="130"/>
    </row>
    <row r="27" spans="1:31" ht="15" customHeight="1" x14ac:dyDescent="0.25">
      <c r="B27" s="132"/>
      <c r="C27" s="1" t="s">
        <v>281</v>
      </c>
      <c r="D27" s="107">
        <f>IFERROR(VLOOKUP(D$4,'G&amp;A bed avail.'!$AW$5:$BE$18,8,FALSE),"")</f>
        <v>9825.1428571428569</v>
      </c>
      <c r="E27" s="107">
        <f>IFERROR(VLOOKUP(E$4,'G&amp;A bed avail.'!$AW$5:$BE$18,8,FALSE),"")</f>
        <v>9628.4285714285706</v>
      </c>
      <c r="F27" s="107">
        <f>IFERROR(VLOOKUP(F$4,'G&amp;A bed avail.'!$AW$5:$BE$18,8,FALSE),"")</f>
        <v>9712.5714285714294</v>
      </c>
      <c r="G27" s="107">
        <f>IFERROR(VLOOKUP(G$4,'G&amp;A bed avail.'!$AW$5:$BE$18,8,FALSE),"")</f>
        <v>9785.1428571428569</v>
      </c>
      <c r="H27" s="107">
        <f>IFERROR(VLOOKUP(H$4,'G&amp;A bed avail.'!$AW$5:$BE$18,8,FALSE),"")</f>
        <v>9796.7142857142862</v>
      </c>
      <c r="I27" s="107">
        <f>IFERROR(VLOOKUP(I$4,'G&amp;A bed avail.'!$AW$5:$BE$18,8,FALSE),"")</f>
        <v>9836.2857142857138</v>
      </c>
      <c r="J27" s="107">
        <f>IFERROR(VLOOKUP(J$4,'G&amp;A bed avail.'!$AW$5:$BE$18,8,FALSE),"")</f>
        <v>9832</v>
      </c>
      <c r="K27" s="107">
        <f>IFERROR(VLOOKUP(K$4,'G&amp;A bed avail.'!$AW$5:$BE$18,8,FALSE),"")</f>
        <v>9797.4285714285706</v>
      </c>
      <c r="L27" s="107">
        <f>IFERROR(VLOOKUP(L$4,'G&amp;A bed avail.'!$AW$5:$BE$18,8,FALSE),"")</f>
        <v>9787.1428571428569</v>
      </c>
      <c r="M27" s="107">
        <f>IFERROR(VLOOKUP(M$4,'G&amp;A bed avail.'!$AW$5:$BE$18,8,FALSE),"")</f>
        <v>9792.1428571428569</v>
      </c>
      <c r="N27" s="107">
        <f>IFERROR(VLOOKUP(N$4,'G&amp;A bed avail.'!$AW$5:$BE$18,8,FALSE),"")</f>
        <v>9801.8571428571431</v>
      </c>
      <c r="O27" s="107">
        <f>IFERROR(VLOOKUP(O$4,'G&amp;A bed avail.'!$AW$5:$BE$18,8,FALSE),"")</f>
        <v>9791.1428571428569</v>
      </c>
      <c r="P27" s="107">
        <f>IFERROR(VLOOKUP(P$4,'G&amp;A bed avail.'!$AW$5:$BE$18,8,FALSE),"")</f>
        <v>9777.1428571428569</v>
      </c>
      <c r="Q27" s="80"/>
      <c r="Z27" s="130"/>
      <c r="AA27" s="130"/>
      <c r="AB27" s="130"/>
      <c r="AC27" s="130"/>
    </row>
    <row r="28" spans="1:31" ht="15" customHeight="1" x14ac:dyDescent="0.25">
      <c r="B28" s="132"/>
      <c r="C28" s="1" t="s">
        <v>282</v>
      </c>
      <c r="D28" s="107">
        <f>IFERROR(VLOOKUP(D$4,'G&amp;A bed avail.'!$AW$5:$BE$18,5,FALSE),"")</f>
        <v>16506.428571428572</v>
      </c>
      <c r="E28" s="107">
        <f>IFERROR(VLOOKUP(E$4,'G&amp;A bed avail.'!$AW$5:$BE$18,5,FALSE),"")</f>
        <v>17521.428571428572</v>
      </c>
      <c r="F28" s="107">
        <f>IFERROR(VLOOKUP(F$4,'G&amp;A bed avail.'!$AW$5:$BE$18,5,FALSE),"")</f>
        <v>17521.857142857141</v>
      </c>
      <c r="G28" s="107">
        <f>IFERROR(VLOOKUP(G$4,'G&amp;A bed avail.'!$AW$5:$BE$18,5,FALSE),"")</f>
        <v>17456.142857142859</v>
      </c>
      <c r="H28" s="107">
        <f>IFERROR(VLOOKUP(H$4,'G&amp;A bed avail.'!$AW$5:$BE$18,5,FALSE),"")</f>
        <v>17136.857142857141</v>
      </c>
      <c r="I28" s="107">
        <f>IFERROR(VLOOKUP(I$4,'G&amp;A bed avail.'!$AW$5:$BE$18,5,FALSE),"")</f>
        <v>17535.571428571428</v>
      </c>
      <c r="J28" s="107">
        <f>IFERROR(VLOOKUP(J$4,'G&amp;A bed avail.'!$AW$5:$BE$18,5,FALSE),"")</f>
        <v>17568.857142857141</v>
      </c>
      <c r="K28" s="107">
        <f>IFERROR(VLOOKUP(K$4,'G&amp;A bed avail.'!$AW$5:$BE$18,5,FALSE),"")</f>
        <v>17560.857142857141</v>
      </c>
      <c r="L28" s="107">
        <f>IFERROR(VLOOKUP(L$4,'G&amp;A bed avail.'!$AW$5:$BE$18,5,FALSE),"")</f>
        <v>17336.142857142859</v>
      </c>
      <c r="M28" s="107">
        <f>IFERROR(VLOOKUP(M$4,'G&amp;A bed avail.'!$AW$5:$BE$18,5,FALSE),"")</f>
        <v>17540</v>
      </c>
      <c r="N28" s="107">
        <f>IFERROR(VLOOKUP(N$4,'G&amp;A bed avail.'!$AW$5:$BE$18,5,FALSE),"")</f>
        <v>17616.285714285714</v>
      </c>
      <c r="O28" s="107">
        <f>IFERROR(VLOOKUP(O$4,'G&amp;A bed avail.'!$AW$5:$BE$18,5,FALSE),"")</f>
        <v>17708.714285714286</v>
      </c>
      <c r="P28" s="107">
        <f>IFERROR(VLOOKUP(P$4,'G&amp;A bed avail.'!$AW$5:$BE$18,5,FALSE),"")</f>
        <v>17708.142857142859</v>
      </c>
      <c r="Q28" s="80"/>
      <c r="Z28" s="130"/>
      <c r="AA28" s="130"/>
      <c r="AB28" s="130"/>
      <c r="AC28" s="130"/>
    </row>
    <row r="29" spans="1:31" x14ac:dyDescent="0.25">
      <c r="B29" s="132"/>
      <c r="C29" s="1" t="s">
        <v>284</v>
      </c>
      <c r="D29" s="107">
        <f>IFERROR(VLOOKUP(D$4,'G&amp;A bed avail.'!$AW$5:$BE$18,9,FALSE),"")</f>
        <v>14206</v>
      </c>
      <c r="E29" s="107">
        <f>IFERROR(VLOOKUP(E$4,'G&amp;A bed avail.'!$AW$5:$BE$18,9,FALSE),"")</f>
        <v>14246.714285714286</v>
      </c>
      <c r="F29" s="107">
        <f>IFERROR(VLOOKUP(F$4,'G&amp;A bed avail.'!$AW$5:$BE$18,9,FALSE),"")</f>
        <v>14212.285714285714</v>
      </c>
      <c r="G29" s="107">
        <f>IFERROR(VLOOKUP(G$4,'G&amp;A bed avail.'!$AW$5:$BE$18,9,FALSE),"")</f>
        <v>14116.428571428571</v>
      </c>
      <c r="H29" s="107">
        <f>IFERROR(VLOOKUP(H$4,'G&amp;A bed avail.'!$AW$5:$BE$18,9,FALSE),"")</f>
        <v>14243.571428571429</v>
      </c>
      <c r="I29" s="107">
        <f>IFERROR(VLOOKUP(I$4,'G&amp;A bed avail.'!$AW$5:$BE$18,9,FALSE),"")</f>
        <v>14308.857142857143</v>
      </c>
      <c r="J29" s="107">
        <f>IFERROR(VLOOKUP(J$4,'G&amp;A bed avail.'!$AW$5:$BE$18,9,FALSE),"")</f>
        <v>14165.428571428571</v>
      </c>
      <c r="K29" s="107">
        <f>IFERROR(VLOOKUP(K$4,'G&amp;A bed avail.'!$AW$5:$BE$18,9,FALSE),"")</f>
        <v>14294</v>
      </c>
      <c r="L29" s="107">
        <f>IFERROR(VLOOKUP(L$4,'G&amp;A bed avail.'!$AW$5:$BE$18,9,FALSE),"")</f>
        <v>14327.142857142857</v>
      </c>
      <c r="M29" s="107">
        <f>IFERROR(VLOOKUP(M$4,'G&amp;A bed avail.'!$AW$5:$BE$18,9,FALSE),"")</f>
        <v>14194.285714285714</v>
      </c>
      <c r="N29" s="107">
        <f>IFERROR(VLOOKUP(N$4,'G&amp;A bed avail.'!$AW$5:$BE$18,9,FALSE),"")</f>
        <v>14306.428571428571</v>
      </c>
      <c r="O29" s="107">
        <f>IFERROR(VLOOKUP(O$4,'G&amp;A bed avail.'!$AW$5:$BE$18,9,FALSE),"")</f>
        <v>14324.714285714286</v>
      </c>
      <c r="P29" s="107">
        <f>IFERROR(VLOOKUP(P$4,'G&amp;A bed avail.'!$AW$5:$BE$18,9,FALSE),"")</f>
        <v>14302.571428571429</v>
      </c>
      <c r="Q29" s="80" t="str">
        <f>IFERROR(VLOOKUP(Q$4,'G&amp;A bed avail.'!$AW$5:$BD$19,5,FALSE),"")</f>
        <v/>
      </c>
      <c r="Z29" s="130"/>
      <c r="AA29" s="130"/>
      <c r="AB29" s="130"/>
      <c r="AC29" s="130"/>
    </row>
    <row r="30" spans="1:31" x14ac:dyDescent="0.25">
      <c r="B30" s="132"/>
      <c r="C30" s="1" t="s">
        <v>238</v>
      </c>
      <c r="D30" s="107">
        <f>IFERROR(VLOOKUP(D$4,'G&amp;A bed avail.'!$AW$5:$BE$18,6,FALSE),"")</f>
        <v>12651.857142857143</v>
      </c>
      <c r="E30" s="107">
        <f>IFERROR(VLOOKUP(E$4,'G&amp;A bed avail.'!$AW$5:$BE$18,6,FALSE),"")</f>
        <v>12893</v>
      </c>
      <c r="F30" s="107">
        <f>IFERROR(VLOOKUP(F$4,'G&amp;A bed avail.'!$AW$5:$BE$18,6,FALSE),"")</f>
        <v>12884</v>
      </c>
      <c r="G30" s="107">
        <f>IFERROR(VLOOKUP(G$4,'G&amp;A bed avail.'!$AW$5:$BE$18,6,FALSE),"")</f>
        <v>12735.714285714286</v>
      </c>
      <c r="H30" s="107">
        <f>IFERROR(VLOOKUP(H$4,'G&amp;A bed avail.'!$AW$5:$BE$18,6,FALSE),"")</f>
        <v>12787.428571428571</v>
      </c>
      <c r="I30" s="107">
        <f>IFERROR(VLOOKUP(I$4,'G&amp;A bed avail.'!$AW$5:$BE$18,6,FALSE),"")</f>
        <v>12718.428571428571</v>
      </c>
      <c r="J30" s="107">
        <f>IFERROR(VLOOKUP(J$4,'G&amp;A bed avail.'!$AW$5:$BE$18,6,FALSE),"")</f>
        <v>12832</v>
      </c>
      <c r="K30" s="107">
        <f>IFERROR(VLOOKUP(K$4,'G&amp;A bed avail.'!$AW$5:$BE$18,6,FALSE),"")</f>
        <v>12824.857142857143</v>
      </c>
      <c r="L30" s="107">
        <f>IFERROR(VLOOKUP(L$4,'G&amp;A bed avail.'!$AW$5:$BE$18,6,FALSE),"")</f>
        <v>12880.714285714286</v>
      </c>
      <c r="M30" s="107">
        <f>IFERROR(VLOOKUP(M$4,'G&amp;A bed avail.'!$AW$5:$BE$18,6,FALSE),"")</f>
        <v>12877.857142857143</v>
      </c>
      <c r="N30" s="107">
        <f>IFERROR(VLOOKUP(N$4,'G&amp;A bed avail.'!$AW$5:$BE$18,6,FALSE),"")</f>
        <v>12849</v>
      </c>
      <c r="O30" s="107">
        <f>IFERROR(VLOOKUP(O$4,'G&amp;A bed avail.'!$AW$5:$BE$18,6,FALSE),"")</f>
        <v>12837.857142857143</v>
      </c>
      <c r="P30" s="107">
        <f>IFERROR(VLOOKUP(P$4,'G&amp;A bed avail.'!$AW$5:$BE$18,6,FALSE),"")</f>
        <v>12865.285714285714</v>
      </c>
      <c r="Q30" s="80" t="str">
        <f>IFERROR(VLOOKUP(Q$4,'G&amp;A bed avail.'!$AW$5:$BD$19,6,FALSE),"")</f>
        <v/>
      </c>
      <c r="Z30" s="130"/>
      <c r="AA30" s="130"/>
      <c r="AB30" s="130"/>
      <c r="AC30" s="130"/>
    </row>
    <row r="31" spans="1:31" x14ac:dyDescent="0.25">
      <c r="B31" s="132"/>
      <c r="C31" s="11" t="s">
        <v>239</v>
      </c>
      <c r="D31" s="107">
        <f>IFERROR(VLOOKUP(D$4,'G&amp;A bed avail.'!$AW$5:$BE$18,7,FALSE),"")</f>
        <v>9274.2857142857138</v>
      </c>
      <c r="E31" s="107">
        <f>IFERROR(VLOOKUP(E$4,'G&amp;A bed avail.'!$AW$5:$BE$18,7,FALSE),"")</f>
        <v>9336.8571428571431</v>
      </c>
      <c r="F31" s="107">
        <f>IFERROR(VLOOKUP(F$4,'G&amp;A bed avail.'!$AW$5:$BE$18,7,FALSE),"")</f>
        <v>9318.8571428571431</v>
      </c>
      <c r="G31" s="107">
        <f>IFERROR(VLOOKUP(G$4,'G&amp;A bed avail.'!$AW$5:$BE$18,7,FALSE),"")</f>
        <v>9272.4285714285706</v>
      </c>
      <c r="H31" s="107">
        <f>IFERROR(VLOOKUP(H$4,'G&amp;A bed avail.'!$AW$5:$BE$18,7,FALSE),"")</f>
        <v>9258.4285714285706</v>
      </c>
      <c r="I31" s="107">
        <f>IFERROR(VLOOKUP(I$4,'G&amp;A bed avail.'!$AW$5:$BE$18,7,FALSE),"")</f>
        <v>9379.7142857142862</v>
      </c>
      <c r="J31" s="107">
        <f>IFERROR(VLOOKUP(J$4,'G&amp;A bed avail.'!$AW$5:$BE$18,7,FALSE),"")</f>
        <v>9417.1428571428569</v>
      </c>
      <c r="K31" s="107">
        <f>IFERROR(VLOOKUP(K$4,'G&amp;A bed avail.'!$AW$5:$BE$18,7,FALSE),"")</f>
        <v>9428.8571428571431</v>
      </c>
      <c r="L31" s="107">
        <f>IFERROR(VLOOKUP(L$4,'G&amp;A bed avail.'!$AW$5:$BE$18,7,FALSE),"")</f>
        <v>9425.8571428571431</v>
      </c>
      <c r="M31" s="107">
        <f>IFERROR(VLOOKUP(M$4,'G&amp;A bed avail.'!$AW$5:$BE$18,7,FALSE),"")</f>
        <v>9448.1428571428569</v>
      </c>
      <c r="N31" s="107">
        <f>IFERROR(VLOOKUP(N$4,'G&amp;A bed avail.'!$AW$5:$BE$18,7,FALSE),"")</f>
        <v>9449.8571428571431</v>
      </c>
      <c r="O31" s="107">
        <f>IFERROR(VLOOKUP(O$4,'G&amp;A bed avail.'!$AW$5:$BE$18,7,FALSE),"")</f>
        <v>9447.7142857142862</v>
      </c>
      <c r="P31" s="107">
        <f>IFERROR(VLOOKUP(P$4,'G&amp;A bed avail.'!$AW$5:$BE$18,7,FALSE),"")</f>
        <v>9463</v>
      </c>
      <c r="Q31" s="80" t="str">
        <f>IFERROR(VLOOKUP(Q$4,'G&amp;A bed avail.'!$AW$5:$BD$19,7,FALSE),"")</f>
        <v/>
      </c>
      <c r="Z31" s="130"/>
      <c r="AA31" s="130"/>
      <c r="AB31" s="130"/>
      <c r="AC31" s="130"/>
    </row>
    <row r="32" spans="1:31" ht="7.5" customHeight="1" x14ac:dyDescent="0.25">
      <c r="B32" s="132"/>
      <c r="C32" s="1"/>
      <c r="D32" s="34"/>
      <c r="E32" s="34"/>
      <c r="F32" s="34"/>
      <c r="G32" s="34"/>
      <c r="H32" s="34"/>
      <c r="I32" s="34"/>
      <c r="J32" s="34"/>
      <c r="K32" s="34"/>
      <c r="L32" s="34"/>
      <c r="M32" s="34"/>
      <c r="N32" s="34"/>
      <c r="O32" s="34"/>
      <c r="P32" s="34"/>
      <c r="Q32" s="34"/>
      <c r="Z32" s="130"/>
      <c r="AA32" s="130"/>
      <c r="AB32" s="130"/>
      <c r="AC32" s="130"/>
    </row>
    <row r="33" spans="2:29" x14ac:dyDescent="0.25">
      <c r="B33" s="132"/>
      <c r="C33" s="1" t="s">
        <v>227</v>
      </c>
      <c r="D33" s="134" t="s">
        <v>234</v>
      </c>
      <c r="E33" s="134"/>
      <c r="F33" s="134"/>
      <c r="G33" s="134" t="s">
        <v>276</v>
      </c>
      <c r="H33" s="134"/>
      <c r="I33" s="134"/>
      <c r="J33" s="134"/>
      <c r="K33" s="135" t="s">
        <v>268</v>
      </c>
      <c r="L33" s="135"/>
      <c r="M33" s="135"/>
      <c r="N33" s="150" t="str">
        <f>TEXT('G&amp;A bed avail.'!BM6,"0,0")&amp;" ("&amp;TEXT('G&amp;A bed avail.'!BO6,"d-mmm")&amp;")"</f>
        <v>94,549 (24-Feb)</v>
      </c>
      <c r="O33" s="150"/>
      <c r="P33" s="150"/>
      <c r="Q33" s="81"/>
      <c r="R33" s="59"/>
      <c r="Z33" s="130"/>
      <c r="AA33" s="130"/>
      <c r="AB33" s="130"/>
      <c r="AC33" s="130"/>
    </row>
    <row r="34" spans="2:29" ht="7.5" customHeight="1" x14ac:dyDescent="0.25">
      <c r="B34" s="132"/>
      <c r="C34" s="1"/>
      <c r="D34" s="34"/>
      <c r="E34" s="34"/>
      <c r="F34" s="34"/>
      <c r="G34" s="34"/>
      <c r="H34" s="34"/>
      <c r="I34" s="34"/>
      <c r="J34" s="34"/>
      <c r="K34" s="34"/>
      <c r="L34" s="34"/>
      <c r="M34" s="34"/>
      <c r="N34" s="34"/>
      <c r="O34" s="34"/>
      <c r="P34" s="34"/>
      <c r="Q34" s="34"/>
      <c r="Z34" s="130"/>
      <c r="AA34" s="130"/>
      <c r="AB34" s="130"/>
      <c r="AC34" s="130"/>
    </row>
    <row r="35" spans="2:29" ht="15" customHeight="1" x14ac:dyDescent="0.25">
      <c r="B35" s="132"/>
      <c r="C35" s="12" t="s">
        <v>231</v>
      </c>
      <c r="D35" s="128">
        <v>2560.2857142857142</v>
      </c>
      <c r="E35" s="128">
        <v>2922.5714285714284</v>
      </c>
      <c r="F35" s="128">
        <v>2430.2857142857142</v>
      </c>
      <c r="G35" s="128">
        <v>2778.7142857142858</v>
      </c>
      <c r="H35" s="128">
        <v>4699.4285714285716</v>
      </c>
      <c r="I35" s="128">
        <v>4626</v>
      </c>
      <c r="J35" s="128">
        <v>4468.1428571428569</v>
      </c>
      <c r="K35" s="128">
        <v>4527.1428571428569</v>
      </c>
      <c r="L35" s="128">
        <v>4496.2857142857147</v>
      </c>
      <c r="M35" s="128">
        <v>4487.4285714285716</v>
      </c>
      <c r="N35" s="128">
        <v>4614.8571428571431</v>
      </c>
      <c r="O35" s="128">
        <v>4677.5714285714284</v>
      </c>
      <c r="P35" s="128">
        <v>4551.2857142857147</v>
      </c>
      <c r="Z35" s="130"/>
      <c r="AA35" s="130"/>
      <c r="AB35" s="130"/>
      <c r="AC35" s="130"/>
    </row>
    <row r="36" spans="2:29" ht="15" customHeight="1" x14ac:dyDescent="0.25">
      <c r="B36" s="132"/>
      <c r="C36" s="1" t="s">
        <v>234</v>
      </c>
      <c r="D36" s="14">
        <v>2399.8571428571427</v>
      </c>
      <c r="E36" s="14">
        <v>2249.5714285714284</v>
      </c>
      <c r="F36" s="14">
        <v>1987.4285714285713</v>
      </c>
      <c r="G36" s="14">
        <v>1727.8571428571429</v>
      </c>
      <c r="H36" s="14">
        <v>3065.8571428571427</v>
      </c>
      <c r="I36" s="14">
        <v>3611.7142857142858</v>
      </c>
      <c r="J36" s="14">
        <v>3702.8571428571427</v>
      </c>
      <c r="K36" s="14">
        <v>3630</v>
      </c>
      <c r="L36" s="14">
        <v>3882.8571428571427</v>
      </c>
      <c r="M36" s="14">
        <v>4015.2857142857142</v>
      </c>
      <c r="N36" s="14">
        <v>3861.5714285714284</v>
      </c>
      <c r="O36" s="14">
        <v>3602.7142857142858</v>
      </c>
      <c r="P36" s="14">
        <v>3373.5714285714284</v>
      </c>
      <c r="R36" s="3"/>
      <c r="Z36" s="130"/>
      <c r="AA36" s="130"/>
      <c r="AB36" s="130"/>
      <c r="AC36" s="130"/>
    </row>
    <row r="37" spans="2:29" ht="7.5" customHeight="1" x14ac:dyDescent="0.25">
      <c r="B37" s="132"/>
      <c r="C37" s="1"/>
      <c r="D37" s="31">
        <v>0.85</v>
      </c>
      <c r="E37" s="31">
        <v>0.85</v>
      </c>
      <c r="F37" s="31">
        <v>0.85</v>
      </c>
      <c r="G37" s="31">
        <v>0.85</v>
      </c>
      <c r="H37" s="31">
        <v>0.85</v>
      </c>
      <c r="I37" s="31">
        <v>0.85</v>
      </c>
      <c r="J37" s="31">
        <v>0.85</v>
      </c>
      <c r="K37" s="31">
        <v>0.85</v>
      </c>
      <c r="L37" s="31">
        <v>0.85</v>
      </c>
      <c r="M37" s="31">
        <v>0.85</v>
      </c>
      <c r="N37" s="31">
        <v>0.85</v>
      </c>
      <c r="O37" s="31">
        <v>0.85</v>
      </c>
      <c r="P37" s="31">
        <v>0.85</v>
      </c>
      <c r="Q37" s="31">
        <v>0.85</v>
      </c>
      <c r="Z37" s="130"/>
      <c r="AA37" s="130"/>
      <c r="AB37" s="130"/>
      <c r="AC37" s="130"/>
    </row>
    <row r="38" spans="2:29" x14ac:dyDescent="0.25">
      <c r="B38" s="132"/>
      <c r="C38" s="16" t="s">
        <v>268</v>
      </c>
      <c r="D38" s="67">
        <f>IFERROR(VLOOKUP(D$4, 'G&amp;A bed avail.'!$AW$22:$BE$35,2,FALSE),"")</f>
        <v>3172.1428571428573</v>
      </c>
      <c r="E38" s="67">
        <f>IFERROR(VLOOKUP(E$4, 'G&amp;A bed avail.'!$AW$22:$BE$35,2,FALSE),"")</f>
        <v>3348.7142857142858</v>
      </c>
      <c r="F38" s="67">
        <f>IFERROR(VLOOKUP(F$4, 'G&amp;A bed avail.'!$AW$22:$BE$35,2,FALSE),"")</f>
        <v>3318.5714285714284</v>
      </c>
      <c r="G38" s="67">
        <f>IFERROR(VLOOKUP(G$4, 'G&amp;A bed avail.'!$AW$22:$BE$35,2,FALSE),"")</f>
        <v>2586.2857142857142</v>
      </c>
      <c r="H38" s="67">
        <f>IFERROR(VLOOKUP(H$4, 'G&amp;A bed avail.'!$AW$22:$BE$35,2,FALSE),"")</f>
        <v>3935.4285714285716</v>
      </c>
      <c r="I38" s="67">
        <f>IFERROR(VLOOKUP(I$4, 'G&amp;A bed avail.'!$AW$22:$BE$35,2,FALSE),"")</f>
        <v>4440.5714285714284</v>
      </c>
      <c r="J38" s="67">
        <v>4141</v>
      </c>
      <c r="K38" s="67">
        <f>IFERROR(VLOOKUP(K$4, 'G&amp;A bed avail.'!$AW$22:$BE$35,2,FALSE),"")</f>
        <v>3859.8571428571427</v>
      </c>
      <c r="L38" s="67">
        <f>IFERROR(VLOOKUP(L$4, 'G&amp;A bed avail.'!$AW$22:$BE$35,2,FALSE),"")</f>
        <v>4044.4285714285716</v>
      </c>
      <c r="M38" s="67">
        <f>IFERROR(VLOOKUP(M$4, 'G&amp;A bed avail.'!$AW$22:$BE$35,2,FALSE),"")</f>
        <v>3860.8571428571427</v>
      </c>
      <c r="N38" s="67">
        <f>IFERROR(VLOOKUP(N$4, 'G&amp;A bed avail.'!$AW$22:$BE$35,2,FALSE),"")</f>
        <v>3588.1428571428573</v>
      </c>
      <c r="O38" s="67">
        <f>IFERROR(VLOOKUP(O$4, 'G&amp;A bed avail.'!$AW$22:$BE$35,2,FALSE),"")</f>
        <v>3502.5714285714284</v>
      </c>
      <c r="P38" s="67">
        <f>IFERROR(VLOOKUP(P$4, 'G&amp;A bed avail.'!$AW$22:$BE$35,2,FALSE),"")</f>
        <v>3551.1428571428573</v>
      </c>
      <c r="Q38" s="79" t="str">
        <f>IFERROR(VLOOKUP(Q$4, 'G&amp;A bed avail.'!$AW$22:$BD$36,2,FALSE),"")</f>
        <v/>
      </c>
      <c r="R38" s="2"/>
      <c r="Z38" s="130"/>
      <c r="AA38" s="130"/>
      <c r="AB38" s="130"/>
      <c r="AC38" s="130"/>
    </row>
    <row r="39" spans="2:29" x14ac:dyDescent="0.25">
      <c r="B39" s="132"/>
      <c r="C39" s="1" t="s">
        <v>1</v>
      </c>
      <c r="D39" s="107">
        <f>IFERROR(VLOOKUP(D$4, 'G&amp;A bed avail.'!$AW$22:$BE$35,3,FALSE),"")</f>
        <v>321.85714285714283</v>
      </c>
      <c r="E39" s="107">
        <f>IFERROR(VLOOKUP(E$4, 'G&amp;A bed avail.'!$AW$22:$BE$35,3,FALSE),"")</f>
        <v>311.28571428571428</v>
      </c>
      <c r="F39" s="107">
        <f>IFERROR(VLOOKUP(F$4, 'G&amp;A bed avail.'!$AW$22:$BE$35,3,FALSE),"")</f>
        <v>313.71428571428572</v>
      </c>
      <c r="G39" s="107">
        <f>IFERROR(VLOOKUP(G$4, 'G&amp;A bed avail.'!$AW$22:$BE$35,3,FALSE),"")</f>
        <v>241.42857142857142</v>
      </c>
      <c r="H39" s="107">
        <f>IFERROR(VLOOKUP(H$4, 'G&amp;A bed avail.'!$AW$22:$BE$35,3,FALSE),"")</f>
        <v>329.57142857142856</v>
      </c>
      <c r="I39" s="107">
        <f>IFERROR(VLOOKUP(I$4, 'G&amp;A bed avail.'!$AW$22:$BE$35,3,FALSE),"")</f>
        <v>427.14285714285717</v>
      </c>
      <c r="J39" s="107">
        <f>IFERROR(VLOOKUP(J$4, 'G&amp;A bed avail.'!$AW$22:$BE$35,3,FALSE),"")</f>
        <v>410.57142857142856</v>
      </c>
      <c r="K39" s="107">
        <f>IFERROR(VLOOKUP(K$4, 'G&amp;A bed avail.'!$AW$22:$BE$35,3,FALSE),"")</f>
        <v>359.57142857142856</v>
      </c>
      <c r="L39" s="107">
        <f>IFERROR(VLOOKUP(L$4, 'G&amp;A bed avail.'!$AW$22:$BE$35,3,FALSE),"")</f>
        <v>374.28571428571428</v>
      </c>
      <c r="M39" s="107">
        <f>IFERROR(VLOOKUP(M$4, 'G&amp;A bed avail.'!$AW$22:$BE$35,3,FALSE),"")</f>
        <v>381.71428571428572</v>
      </c>
      <c r="N39" s="107">
        <f>IFERROR(VLOOKUP(N$4, 'G&amp;A bed avail.'!$AW$22:$BE$35,3,FALSE),"")</f>
        <v>347.71428571428572</v>
      </c>
      <c r="O39" s="107">
        <f>IFERROR(VLOOKUP(O$4, 'G&amp;A bed avail.'!$AW$22:$BE$35,3,FALSE),"")</f>
        <v>367.28571428571428</v>
      </c>
      <c r="P39" s="107">
        <f>IFERROR(VLOOKUP(P$4, 'G&amp;A bed avail.'!$AW$22:$BE$35,3,FALSE),"")</f>
        <v>350.71428571428572</v>
      </c>
      <c r="Q39" s="80" t="str">
        <f>IFERROR(VLOOKUP(Q$4, 'G&amp;A bed avail.'!$AW$22:$BD$36,3,FALSE),"")</f>
        <v/>
      </c>
      <c r="Z39" s="130"/>
      <c r="AA39" s="130"/>
      <c r="AB39" s="130"/>
      <c r="AC39" s="130"/>
    </row>
    <row r="40" spans="2:29" ht="15" customHeight="1" x14ac:dyDescent="0.25">
      <c r="B40" s="132"/>
      <c r="C40" s="1" t="s">
        <v>241</v>
      </c>
      <c r="D40" s="107">
        <f>IFERROR(VLOOKUP(D$4, 'G&amp;A bed avail.'!$AW$22:$BE$35,4,FALSE),"")</f>
        <v>600.57142857142856</v>
      </c>
      <c r="E40" s="107">
        <f>IFERROR(VLOOKUP(E$4, 'G&amp;A bed avail.'!$AW$22:$BE$35,4,FALSE),"")</f>
        <v>620.14285714285711</v>
      </c>
      <c r="F40" s="107">
        <f>IFERROR(VLOOKUP(F$4, 'G&amp;A bed avail.'!$AW$22:$BE$35,4,FALSE),"")</f>
        <v>598.28571428571433</v>
      </c>
      <c r="G40" s="107">
        <f>IFERROR(VLOOKUP(G$4, 'G&amp;A bed avail.'!$AW$22:$BE$35,4,FALSE),"")</f>
        <v>529.71428571428567</v>
      </c>
      <c r="H40" s="107">
        <f>IFERROR(VLOOKUP(H$4, 'G&amp;A bed avail.'!$AW$22:$BE$35,4,FALSE),"")</f>
        <v>748</v>
      </c>
      <c r="I40" s="107">
        <f>IFERROR(VLOOKUP(I$4, 'G&amp;A bed avail.'!$AW$22:$BE$35,4,FALSE),"")</f>
        <v>868.14285714285711</v>
      </c>
      <c r="J40" s="107">
        <f>IFERROR(VLOOKUP(J$4, 'G&amp;A bed avail.'!$AW$22:$BE$35,4,FALSE),"")</f>
        <v>811.42857142857144</v>
      </c>
      <c r="K40" s="107">
        <f>IFERROR(VLOOKUP(K$4, 'G&amp;A bed avail.'!$AW$22:$BE$35,4,FALSE),"")</f>
        <v>727</v>
      </c>
      <c r="L40" s="107">
        <f>IFERROR(VLOOKUP(L$4, 'G&amp;A bed avail.'!$AW$22:$BE$35,4,FALSE),"")</f>
        <v>753</v>
      </c>
      <c r="M40" s="107">
        <f>IFERROR(VLOOKUP(M$4, 'G&amp;A bed avail.'!$AW$22:$BE$35,4,FALSE),"")</f>
        <v>752.28571428571433</v>
      </c>
      <c r="N40" s="107">
        <f>IFERROR(VLOOKUP(N$4, 'G&amp;A bed avail.'!$AW$22:$BE$35,4,FALSE),"")</f>
        <v>662.71428571428567</v>
      </c>
      <c r="O40" s="107">
        <f>IFERROR(VLOOKUP(O$4, 'G&amp;A bed avail.'!$AW$22:$BE$35,4,FALSE),"")</f>
        <v>616</v>
      </c>
      <c r="P40" s="107">
        <f>IFERROR(VLOOKUP(P$4, 'G&amp;A bed avail.'!$AW$22:$BE$35,4,FALSE),"")</f>
        <v>629</v>
      </c>
      <c r="Q40" s="80" t="str">
        <f>IFERROR(VLOOKUP(Q$4, 'G&amp;A bed avail.'!$AW$22:$BD$36,4,FALSE),"")</f>
        <v/>
      </c>
      <c r="Z40" s="130"/>
      <c r="AA40" s="130"/>
      <c r="AB40" s="130"/>
      <c r="AC40" s="130"/>
    </row>
    <row r="41" spans="2:29" ht="15" customHeight="1" x14ac:dyDescent="0.25">
      <c r="B41" s="132"/>
      <c r="C41" s="1" t="s">
        <v>281</v>
      </c>
      <c r="D41" s="107">
        <f>IFERROR(VLOOKUP(D$4, 'G&amp;A bed avail.'!$AW$22:$BE$35,8,FALSE),"")</f>
        <v>295.57142857142856</v>
      </c>
      <c r="E41" s="107">
        <f>IFERROR(VLOOKUP(E$4, 'G&amp;A bed avail.'!$AW$22:$BE$35,8,FALSE),"")</f>
        <v>333</v>
      </c>
      <c r="F41" s="107">
        <f>IFERROR(VLOOKUP(F$4, 'G&amp;A bed avail.'!$AW$22:$BE$35,8,FALSE),"")</f>
        <v>354.85714285714283</v>
      </c>
      <c r="G41" s="107">
        <f>IFERROR(VLOOKUP(G$4, 'G&amp;A bed avail.'!$AW$22:$BE$35,8,FALSE),"")</f>
        <v>283.42857142857144</v>
      </c>
      <c r="H41" s="107">
        <f>IFERROR(VLOOKUP(H$4, 'G&amp;A bed avail.'!$AW$22:$BE$35,8,FALSE),"")</f>
        <v>469.85714285714283</v>
      </c>
      <c r="I41" s="107">
        <f>IFERROR(VLOOKUP(I$4, 'G&amp;A bed avail.'!$AW$22:$BE$35,8,FALSE),"")</f>
        <v>516.57142857142856</v>
      </c>
      <c r="J41" s="107">
        <f>IFERROR(VLOOKUP(J$4, 'G&amp;A bed avail.'!$AW$22:$BE$35,8,FALSE),"")</f>
        <v>487.28571428571428</v>
      </c>
      <c r="K41" s="107">
        <f>IFERROR(VLOOKUP(K$4, 'G&amp;A bed avail.'!$AW$22:$BE$35,8,FALSE),"")</f>
        <v>437.28571428571428</v>
      </c>
      <c r="L41" s="107">
        <f>IFERROR(VLOOKUP(L$4, 'G&amp;A bed avail.'!$AW$22:$BE$35,8,FALSE),"")</f>
        <v>461.42857142857144</v>
      </c>
      <c r="M41" s="107">
        <f>IFERROR(VLOOKUP(M$4, 'G&amp;A bed avail.'!$AW$22:$BE$35,8,FALSE),"")</f>
        <v>460</v>
      </c>
      <c r="N41" s="107">
        <f>IFERROR(VLOOKUP(N$4, 'G&amp;A bed avail.'!$AW$22:$BE$35,8,FALSE),"")</f>
        <v>416.28571428571428</v>
      </c>
      <c r="O41" s="107">
        <f>IFERROR(VLOOKUP(O$4, 'G&amp;A bed avail.'!$AW$22:$BE$35,8,FALSE),"")</f>
        <v>427.14285714285717</v>
      </c>
      <c r="P41" s="107">
        <f>IFERROR(VLOOKUP(P$4, 'G&amp;A bed avail.'!$AW$22:$BE$35,8,FALSE),"")</f>
        <v>464</v>
      </c>
      <c r="Q41" s="80"/>
      <c r="Z41" s="130"/>
      <c r="AA41" s="130"/>
      <c r="AB41" s="130"/>
      <c r="AC41" s="130"/>
    </row>
    <row r="42" spans="2:29" ht="15" customHeight="1" x14ac:dyDescent="0.25">
      <c r="B42" s="132"/>
      <c r="C42" s="1" t="s">
        <v>282</v>
      </c>
      <c r="D42" s="107">
        <f>IFERROR(VLOOKUP(D$4, 'G&amp;A bed avail.'!$AW$22:$BE$35,5,FALSE),"")</f>
        <v>671.57142857142856</v>
      </c>
      <c r="E42" s="107">
        <f>IFERROR(VLOOKUP(E$4, 'G&amp;A bed avail.'!$AW$22:$BE$35,5,FALSE),"")</f>
        <v>703.28571428571433</v>
      </c>
      <c r="F42" s="107">
        <f>IFERROR(VLOOKUP(F$4, 'G&amp;A bed avail.'!$AW$22:$BE$35,5,FALSE),"")</f>
        <v>671.85714285714289</v>
      </c>
      <c r="G42" s="107">
        <f>IFERROR(VLOOKUP(G$4, 'G&amp;A bed avail.'!$AW$22:$BE$35,5,FALSE),"")</f>
        <v>525.71428571428567</v>
      </c>
      <c r="H42" s="107">
        <f>IFERROR(VLOOKUP(H$4, 'G&amp;A bed avail.'!$AW$22:$BE$35,5,FALSE),"")</f>
        <v>764.71428571428567</v>
      </c>
      <c r="I42" s="107">
        <f>IFERROR(VLOOKUP(I$4, 'G&amp;A bed avail.'!$AW$22:$BE$35,5,FALSE),"")</f>
        <v>815.71428571428567</v>
      </c>
      <c r="J42" s="107">
        <f>IFERROR(VLOOKUP(J$4, 'G&amp;A bed avail.'!$AW$22:$BE$35,5,FALSE),"")</f>
        <v>767.85714285714289</v>
      </c>
      <c r="K42" s="107">
        <f>IFERROR(VLOOKUP(K$4, 'G&amp;A bed avail.'!$AW$22:$BE$35,5,FALSE),"")</f>
        <v>737.57142857142856</v>
      </c>
      <c r="L42" s="107">
        <f>IFERROR(VLOOKUP(L$4, 'G&amp;A bed avail.'!$AW$22:$BE$35,5,FALSE),"")</f>
        <v>750.14285714285711</v>
      </c>
      <c r="M42" s="107">
        <f>IFERROR(VLOOKUP(M$4, 'G&amp;A bed avail.'!$AW$22:$BE$35,5,FALSE),"")</f>
        <v>718.85714285714289</v>
      </c>
      <c r="N42" s="107">
        <f>IFERROR(VLOOKUP(N$4, 'G&amp;A bed avail.'!$AW$22:$BE$35,5,FALSE),"")</f>
        <v>679.14285714285711</v>
      </c>
      <c r="O42" s="107">
        <f>IFERROR(VLOOKUP(O$4, 'G&amp;A bed avail.'!$AW$22:$BE$35,5,FALSE),"")</f>
        <v>656</v>
      </c>
      <c r="P42" s="107">
        <f>IFERROR(VLOOKUP(P$4, 'G&amp;A bed avail.'!$AW$22:$BE$35,5,FALSE),"")</f>
        <v>617.28571428571433</v>
      </c>
      <c r="Q42" s="80"/>
      <c r="Z42" s="130"/>
      <c r="AA42" s="130"/>
      <c r="AB42" s="130"/>
      <c r="AC42" s="130"/>
    </row>
    <row r="43" spans="2:29" x14ac:dyDescent="0.25">
      <c r="B43" s="132"/>
      <c r="C43" s="1" t="s">
        <v>284</v>
      </c>
      <c r="D43" s="107">
        <f>IFERROR(VLOOKUP(D$4, 'G&amp;A bed avail.'!$AW$22:$BE$35,9,FALSE),"")</f>
        <v>466.85714285714283</v>
      </c>
      <c r="E43" s="107">
        <f>IFERROR(VLOOKUP(E$4, 'G&amp;A bed avail.'!$AW$22:$BE$35,9,FALSE),"")</f>
        <v>521.14285714285711</v>
      </c>
      <c r="F43" s="107">
        <f>IFERROR(VLOOKUP(F$4, 'G&amp;A bed avail.'!$AW$22:$BE$35,9,FALSE),"")</f>
        <v>502.42857142857144</v>
      </c>
      <c r="G43" s="107">
        <f>IFERROR(VLOOKUP(G$4, 'G&amp;A bed avail.'!$AW$22:$BE$35,9,FALSE),"")</f>
        <v>391.71428571428572</v>
      </c>
      <c r="H43" s="107">
        <f>IFERROR(VLOOKUP(H$4, 'G&amp;A bed avail.'!$AW$22:$BE$35,9,FALSE),"")</f>
        <v>511.28571428571428</v>
      </c>
      <c r="I43" s="107">
        <f>IFERROR(VLOOKUP(I$4, 'G&amp;A bed avail.'!$AW$22:$BE$35,9,FALSE),"")</f>
        <v>572.85714285714289</v>
      </c>
      <c r="J43" s="107">
        <f>IFERROR(VLOOKUP(J$4, 'G&amp;A bed avail.'!$AW$22:$BE$35,9,FALSE),"")</f>
        <v>569.28571428571433</v>
      </c>
      <c r="K43" s="107">
        <f>IFERROR(VLOOKUP(K$4, 'G&amp;A bed avail.'!$AW$22:$BE$35,9,FALSE),"")</f>
        <v>572.14285714285711</v>
      </c>
      <c r="L43" s="107">
        <f>IFERROR(VLOOKUP(L$4, 'G&amp;A bed avail.'!$AW$22:$BE$35,9,FALSE),"")</f>
        <v>599.71428571428567</v>
      </c>
      <c r="M43" s="107">
        <f>IFERROR(VLOOKUP(M$4, 'G&amp;A bed avail.'!$AW$22:$BE$35,9,FALSE),"")</f>
        <v>549.85714285714289</v>
      </c>
      <c r="N43" s="107">
        <f>IFERROR(VLOOKUP(N$4, 'G&amp;A bed avail.'!$AW$22:$BE$35,9,FALSE),"")</f>
        <v>524</v>
      </c>
      <c r="O43" s="107">
        <f>IFERROR(VLOOKUP(O$4, 'G&amp;A bed avail.'!$AW$22:$BE$35,9,FALSE),"")</f>
        <v>499.71428571428572</v>
      </c>
      <c r="P43" s="107">
        <f>IFERROR(VLOOKUP(P$4, 'G&amp;A bed avail.'!$AW$22:$BE$35,9,FALSE),"")</f>
        <v>519.42857142857144</v>
      </c>
      <c r="Q43" s="80" t="str">
        <f>IFERROR(VLOOKUP(Q$4, 'G&amp;A bed avail.'!$AW$22:$BD$36,5,FALSE),"")</f>
        <v/>
      </c>
      <c r="Z43" s="130"/>
      <c r="AA43" s="130"/>
      <c r="AB43" s="130"/>
      <c r="AC43" s="130"/>
    </row>
    <row r="44" spans="2:29" x14ac:dyDescent="0.25">
      <c r="B44" s="132"/>
      <c r="C44" s="1" t="s">
        <v>238</v>
      </c>
      <c r="D44" s="107">
        <f>IFERROR(VLOOKUP(D$4, 'G&amp;A bed avail.'!$AW$22:$BE$35,6,FALSE),"")</f>
        <v>497.85714285714283</v>
      </c>
      <c r="E44" s="107">
        <f>IFERROR(VLOOKUP(E$4, 'G&amp;A bed avail.'!$AW$22:$BE$35,6,FALSE),"")</f>
        <v>536.85714285714289</v>
      </c>
      <c r="F44" s="107">
        <f>IFERROR(VLOOKUP(F$4, 'G&amp;A bed avail.'!$AW$22:$BE$35,6,FALSE),"")</f>
        <v>536.85714285714289</v>
      </c>
      <c r="G44" s="107">
        <f>IFERROR(VLOOKUP(G$4, 'G&amp;A bed avail.'!$AW$22:$BE$35,6,FALSE),"")</f>
        <v>395.57142857142856</v>
      </c>
      <c r="H44" s="107">
        <f>IFERROR(VLOOKUP(H$4, 'G&amp;A bed avail.'!$AW$22:$BE$35,6,FALSE),"")</f>
        <v>666.42857142857144</v>
      </c>
      <c r="I44" s="107">
        <f>IFERROR(VLOOKUP(I$4, 'G&amp;A bed avail.'!$AW$22:$BE$35,6,FALSE),"")</f>
        <v>760.42857142857144</v>
      </c>
      <c r="J44" s="107">
        <f>IFERROR(VLOOKUP(J$4, 'G&amp;A bed avail.'!$AW$22:$BE$35,6,FALSE),"")</f>
        <v>691</v>
      </c>
      <c r="K44" s="107">
        <f>IFERROR(VLOOKUP(K$4, 'G&amp;A bed avail.'!$AW$22:$BE$35,6,FALSE),"")</f>
        <v>648.28571428571433</v>
      </c>
      <c r="L44" s="107">
        <f>IFERROR(VLOOKUP(L$4, 'G&amp;A bed avail.'!$AW$22:$BE$35,6,FALSE),"")</f>
        <v>644.71428571428567</v>
      </c>
      <c r="M44" s="107">
        <f>IFERROR(VLOOKUP(M$4, 'G&amp;A bed avail.'!$AW$22:$BE$35,6,FALSE),"")</f>
        <v>592.14285714285711</v>
      </c>
      <c r="N44" s="107">
        <f>IFERROR(VLOOKUP(N$4, 'G&amp;A bed avail.'!$AW$22:$BE$35,6,FALSE),"")</f>
        <v>564.42857142857144</v>
      </c>
      <c r="O44" s="107">
        <f>IFERROR(VLOOKUP(O$4, 'G&amp;A bed avail.'!$AW$22:$BE$35,6,FALSE),"")</f>
        <v>554.71428571428567</v>
      </c>
      <c r="P44" s="107">
        <f>IFERROR(VLOOKUP(P$4, 'G&amp;A bed avail.'!$AW$22:$BE$35,6,FALSE),"")</f>
        <v>559.71428571428567</v>
      </c>
      <c r="Q44" s="80" t="str">
        <f>IFERROR(VLOOKUP(Q$4, 'G&amp;A bed avail.'!$AW$22:$BD$36,6,FALSE),"")</f>
        <v/>
      </c>
      <c r="Z44" s="130"/>
      <c r="AA44" s="130"/>
      <c r="AB44" s="130"/>
      <c r="AC44" s="130"/>
    </row>
    <row r="45" spans="2:29" x14ac:dyDescent="0.25">
      <c r="B45" s="132"/>
      <c r="C45" s="11" t="s">
        <v>239</v>
      </c>
      <c r="D45" s="107">
        <f>IFERROR(VLOOKUP(D$4, 'G&amp;A bed avail.'!$AW$22:$BE$35,7,FALSE),"")</f>
        <v>317.85714285714283</v>
      </c>
      <c r="E45" s="107">
        <f>IFERROR(VLOOKUP(E$4, 'G&amp;A bed avail.'!$AW$22:$BE$35,7,FALSE),"")</f>
        <v>323</v>
      </c>
      <c r="F45" s="107">
        <f>IFERROR(VLOOKUP(F$4, 'G&amp;A bed avail.'!$AW$22:$BE$35,7,FALSE),"")</f>
        <v>340.57142857142856</v>
      </c>
      <c r="G45" s="107">
        <f>IFERROR(VLOOKUP(G$4, 'G&amp;A bed avail.'!$AW$22:$BE$35,7,FALSE),"")</f>
        <v>218.71428571428572</v>
      </c>
      <c r="H45" s="107">
        <f>IFERROR(VLOOKUP(H$4, 'G&amp;A bed avail.'!$AW$22:$BE$35,7,FALSE),"")</f>
        <v>445.57142857142856</v>
      </c>
      <c r="I45" s="107">
        <f>IFERROR(VLOOKUP(I$4, 'G&amp;A bed avail.'!$AW$22:$BE$35,7,FALSE),"")</f>
        <v>479.71428571428572</v>
      </c>
      <c r="J45" s="107">
        <f>IFERROR(VLOOKUP(J$4, 'G&amp;A bed avail.'!$AW$22:$BE$35,7,FALSE),"")</f>
        <v>403.28571428571428</v>
      </c>
      <c r="K45" s="107">
        <f>IFERROR(VLOOKUP(K$4, 'G&amp;A bed avail.'!$AW$22:$BE$35,7,FALSE),"")</f>
        <v>378</v>
      </c>
      <c r="L45" s="107">
        <f>IFERROR(VLOOKUP(L$4, 'G&amp;A bed avail.'!$AW$22:$BE$35,7,FALSE),"")</f>
        <v>461.14285714285717</v>
      </c>
      <c r="M45" s="107">
        <f>IFERROR(VLOOKUP(M$4, 'G&amp;A bed avail.'!$AW$22:$BE$35,7,FALSE),"")</f>
        <v>406</v>
      </c>
      <c r="N45" s="107">
        <f>IFERROR(VLOOKUP(N$4, 'G&amp;A bed avail.'!$AW$22:$BE$35,7,FALSE),"")</f>
        <v>393.85714285714283</v>
      </c>
      <c r="O45" s="107">
        <f>IFERROR(VLOOKUP(O$4, 'G&amp;A bed avail.'!$AW$22:$BE$35,7,FALSE),"")</f>
        <v>381.71428571428572</v>
      </c>
      <c r="P45" s="107">
        <f>IFERROR(VLOOKUP(P$4, 'G&amp;A bed avail.'!$AW$22:$BE$35,7,FALSE),"")</f>
        <v>411</v>
      </c>
      <c r="Q45" s="80" t="str">
        <f>IFERROR(VLOOKUP(Q$4, 'G&amp;A bed avail.'!$AW$22:$BD$36,7,FALSE),"")</f>
        <v/>
      </c>
      <c r="Z45" s="130"/>
      <c r="AA45" s="130"/>
      <c r="AB45" s="130"/>
      <c r="AC45" s="130"/>
    </row>
    <row r="46" spans="2:29" ht="7.5" customHeight="1" x14ac:dyDescent="0.25">
      <c r="B46" s="132"/>
      <c r="C46" s="1"/>
      <c r="D46" s="34"/>
      <c r="E46" s="34"/>
      <c r="F46" s="34"/>
      <c r="G46" s="34"/>
      <c r="H46" s="34"/>
      <c r="I46" s="34"/>
      <c r="J46" s="34"/>
      <c r="K46" s="34"/>
      <c r="L46" s="34"/>
      <c r="M46" s="34"/>
      <c r="N46" s="34"/>
      <c r="O46" s="34"/>
      <c r="P46" s="34"/>
      <c r="Q46" s="34"/>
      <c r="Z46" s="130"/>
      <c r="AA46" s="130"/>
      <c r="AB46" s="130"/>
      <c r="AC46" s="130"/>
    </row>
    <row r="47" spans="2:29" x14ac:dyDescent="0.25">
      <c r="B47" s="132"/>
      <c r="C47" s="1" t="s">
        <v>228</v>
      </c>
      <c r="D47" s="136" t="s">
        <v>234</v>
      </c>
      <c r="E47" s="137"/>
      <c r="F47" s="138"/>
      <c r="G47" s="136" t="s">
        <v>277</v>
      </c>
      <c r="H47" s="137"/>
      <c r="I47" s="137"/>
      <c r="J47" s="137"/>
      <c r="K47" s="139" t="s">
        <v>268</v>
      </c>
      <c r="L47" s="140"/>
      <c r="M47" s="140"/>
      <c r="N47" s="144" t="str">
        <f>TEXT('G&amp;A bed avail.'!BM7,"0,0")&amp;" ("&amp;TEXT('G&amp;A bed avail.'!BO7,"d-mmm")&amp;")"</f>
        <v>4,872 (6-Jan)</v>
      </c>
      <c r="O47" s="144"/>
      <c r="P47" s="144"/>
      <c r="Q47" s="77"/>
      <c r="R47" s="59"/>
      <c r="Z47" s="130"/>
      <c r="AA47" s="130"/>
      <c r="AB47" s="130"/>
      <c r="AC47" s="130"/>
    </row>
    <row r="48" spans="2:29" ht="7.5" customHeight="1" x14ac:dyDescent="0.25">
      <c r="B48" s="132"/>
      <c r="C48" s="1"/>
      <c r="D48" s="34"/>
      <c r="E48" s="34"/>
      <c r="F48" s="34"/>
      <c r="G48" s="34"/>
      <c r="H48" s="34"/>
      <c r="I48" s="34"/>
      <c r="J48" s="34"/>
      <c r="K48" s="34"/>
      <c r="L48" s="34"/>
      <c r="M48" s="34"/>
      <c r="N48" s="34"/>
      <c r="O48" s="34"/>
      <c r="P48" s="34"/>
      <c r="Q48" s="34"/>
      <c r="Z48" s="130"/>
      <c r="AA48" s="130"/>
      <c r="AB48" s="130"/>
      <c r="AC48" s="130"/>
    </row>
    <row r="49" spans="2:29" ht="15" customHeight="1" x14ac:dyDescent="0.25">
      <c r="B49" s="132"/>
      <c r="C49" s="12" t="s">
        <v>232</v>
      </c>
      <c r="D49" s="128">
        <v>96210.71428571429</v>
      </c>
      <c r="E49" s="128">
        <v>96084.28571428571</v>
      </c>
      <c r="F49" s="128">
        <v>94919</v>
      </c>
      <c r="G49" s="128">
        <v>96129.571428571435</v>
      </c>
      <c r="H49" s="128">
        <v>98579.28571428571</v>
      </c>
      <c r="I49" s="128">
        <v>98611.142857142855</v>
      </c>
      <c r="J49" s="128">
        <v>98222.71428571429</v>
      </c>
      <c r="K49" s="128">
        <v>98310.857142857145</v>
      </c>
      <c r="L49" s="128">
        <v>98509.571428571435</v>
      </c>
      <c r="M49" s="128">
        <v>98109.28571428571</v>
      </c>
      <c r="N49" s="128">
        <v>98498.28571428571</v>
      </c>
      <c r="O49" s="128">
        <v>98668.142857142855</v>
      </c>
      <c r="P49" s="128">
        <v>98087.571428571435</v>
      </c>
      <c r="Z49" s="130"/>
      <c r="AA49" s="130"/>
      <c r="AB49" s="130"/>
      <c r="AC49" s="130"/>
    </row>
    <row r="50" spans="2:29" ht="15" customHeight="1" x14ac:dyDescent="0.25">
      <c r="B50" s="132"/>
      <c r="C50" s="1" t="s">
        <v>234</v>
      </c>
      <c r="D50" s="14">
        <v>96049.428571428565</v>
      </c>
      <c r="E50" s="14">
        <v>95721.28571428571</v>
      </c>
      <c r="F50" s="14">
        <v>95395.28571428571</v>
      </c>
      <c r="G50" s="14">
        <v>94648.428571428565</v>
      </c>
      <c r="H50" s="14">
        <v>96218.28571428571</v>
      </c>
      <c r="I50" s="14">
        <v>97248</v>
      </c>
      <c r="J50" s="14">
        <v>97580</v>
      </c>
      <c r="K50" s="14">
        <v>97549.28571428571</v>
      </c>
      <c r="L50" s="14">
        <v>98129.28571428571</v>
      </c>
      <c r="M50" s="14">
        <v>98029.857142857145</v>
      </c>
      <c r="N50" s="14">
        <v>98184.571428571435</v>
      </c>
      <c r="O50" s="14">
        <v>97819.142857142855</v>
      </c>
      <c r="P50" s="14">
        <v>97627.857142857145</v>
      </c>
      <c r="R50" s="3"/>
      <c r="Z50" s="130"/>
      <c r="AA50" s="130"/>
      <c r="AB50" s="130"/>
      <c r="AC50" s="130"/>
    </row>
    <row r="51" spans="2:29" ht="7.5" customHeight="1" x14ac:dyDescent="0.25">
      <c r="B51" s="132"/>
      <c r="C51" s="1"/>
      <c r="D51" s="31">
        <v>0.85</v>
      </c>
      <c r="E51" s="31">
        <v>0.85</v>
      </c>
      <c r="F51" s="31">
        <v>0.85</v>
      </c>
      <c r="G51" s="31">
        <v>0.85</v>
      </c>
      <c r="H51" s="31">
        <v>0.85</v>
      </c>
      <c r="I51" s="31">
        <v>0.85</v>
      </c>
      <c r="J51" s="31">
        <v>0.85</v>
      </c>
      <c r="K51" s="31">
        <v>0.85</v>
      </c>
      <c r="L51" s="31">
        <v>0.85</v>
      </c>
      <c r="M51" s="31">
        <v>0.85</v>
      </c>
      <c r="N51" s="31">
        <v>0.85</v>
      </c>
      <c r="O51" s="31">
        <v>0.85</v>
      </c>
      <c r="P51" s="31">
        <v>0.85</v>
      </c>
      <c r="Q51" s="31">
        <v>0.85</v>
      </c>
      <c r="Z51" s="130"/>
      <c r="AA51" s="130"/>
      <c r="AB51" s="130"/>
      <c r="AC51" s="130"/>
    </row>
    <row r="52" spans="2:29" x14ac:dyDescent="0.25">
      <c r="B52" s="132"/>
      <c r="C52" s="16" t="s">
        <v>268</v>
      </c>
      <c r="D52" s="61">
        <f>IFERROR(VLOOKUP(D$4, 'G&amp;A bed avail.'!$AW$38:$BE$52,2,FALSE),"")</f>
        <v>96675</v>
      </c>
      <c r="E52" s="113">
        <f>IFERROR(VLOOKUP(E$4, 'G&amp;A bed avail.'!$AW$38:$BE$52,2,FALSE),"")</f>
        <v>97067.71428571429</v>
      </c>
      <c r="F52" s="113">
        <f>IFERROR(VLOOKUP(F$4, 'G&amp;A bed avail.'!$AW$38:$BE$52,2,FALSE),"")</f>
        <v>97017.857142857145</v>
      </c>
      <c r="G52" s="113">
        <f>IFERROR(VLOOKUP(G$4, 'G&amp;A bed avail.'!$AW$38:$BE$52,2,FALSE),"")</f>
        <v>95816.71428571429</v>
      </c>
      <c r="H52" s="113">
        <f>IFERROR(VLOOKUP(H$4, 'G&amp;A bed avail.'!$AW$38:$BE$52,2,FALSE),"")</f>
        <v>97143.142857142855</v>
      </c>
      <c r="I52" s="113">
        <f>IFERROR(VLOOKUP(I$4, 'G&amp;A bed avail.'!$AW$38:$BE$52,2,FALSE),"")</f>
        <v>98417.571428571435</v>
      </c>
      <c r="J52" s="129">
        <v>98204</v>
      </c>
      <c r="K52" s="113">
        <f>IFERROR(VLOOKUP(K$4, 'G&amp;A bed avail.'!$AW$38:$BE$52,2,FALSE),"")</f>
        <v>97990</v>
      </c>
      <c r="L52" s="113">
        <f>IFERROR(VLOOKUP(L$4, 'G&amp;A bed avail.'!$AW$38:$BE$52,2,FALSE),"")</f>
        <v>98031.142857142855</v>
      </c>
      <c r="M52" s="113">
        <f>IFERROR(VLOOKUP(M$4, 'G&amp;A bed avail.'!$AW$38:$BE$52,2,FALSE),"")</f>
        <v>97854.71428571429</v>
      </c>
      <c r="N52" s="113">
        <f>IFERROR(VLOOKUP(N$4, 'G&amp;A bed avail.'!$AW$38:$BE$52,2,FALSE),"")</f>
        <v>97860.142857142855</v>
      </c>
      <c r="O52" s="113">
        <f>IFERROR(VLOOKUP(O$4, 'G&amp;A bed avail.'!$AW$38:$BE$52,2,FALSE),"")</f>
        <v>97790.28571428571</v>
      </c>
      <c r="P52" s="113">
        <f>IFERROR(VLOOKUP(P$4, 'G&amp;A bed avail.'!$AW$38:$BE$52,2,FALSE),"")</f>
        <v>97553.857142857145</v>
      </c>
      <c r="Q52" s="79" t="str">
        <f>IFERROR(VLOOKUP(Q$4, 'G&amp;A bed avail.'!$AW$38:$BD$52,2,FALSE),"")</f>
        <v/>
      </c>
      <c r="R52" s="2"/>
      <c r="Z52" s="130"/>
      <c r="AA52" s="130"/>
      <c r="AB52" s="130"/>
      <c r="AC52" s="130"/>
    </row>
    <row r="53" spans="2:29" x14ac:dyDescent="0.25">
      <c r="B53" s="132"/>
      <c r="C53" s="1" t="s">
        <v>1</v>
      </c>
      <c r="D53" s="107">
        <f>IFERROR(VLOOKUP(D$4, 'G&amp;A bed avail.'!$AW$38:$BE$52,3,FALSE),"")</f>
        <v>13855.142857142857</v>
      </c>
      <c r="E53" s="107">
        <f>IFERROR(VLOOKUP(E$4, 'G&amp;A bed avail.'!$AW$38:$BE$52,3,FALSE),"")</f>
        <v>13886.571428571429</v>
      </c>
      <c r="F53" s="107">
        <f>IFERROR(VLOOKUP(F$4, 'G&amp;A bed avail.'!$AW$38:$BE$52,3,FALSE),"")</f>
        <v>13871</v>
      </c>
      <c r="G53" s="107">
        <f>IFERROR(VLOOKUP(G$4, 'G&amp;A bed avail.'!$AW$38:$BE$52,3,FALSE),"")</f>
        <v>13684.428571428571</v>
      </c>
      <c r="H53" s="107">
        <f>IFERROR(VLOOKUP(H$4, 'G&amp;A bed avail.'!$AW$38:$BE$52,3,FALSE),"")</f>
        <v>13834.285714285714</v>
      </c>
      <c r="I53" s="107">
        <f>IFERROR(VLOOKUP(I$4, 'G&amp;A bed avail.'!$AW$38:$BE$52,3,FALSE),"")</f>
        <v>14052</v>
      </c>
      <c r="J53" s="107">
        <f>IFERROR(VLOOKUP(J$4, 'G&amp;A bed avail.'!$AW$38:$BE$52,3,FALSE),"")</f>
        <v>14070.571428571429</v>
      </c>
      <c r="K53" s="107">
        <f>IFERROR(VLOOKUP(K$4, 'G&amp;A bed avail.'!$AW$38:$BE$52,3,FALSE),"")</f>
        <v>14038.857142857143</v>
      </c>
      <c r="L53" s="107">
        <f>IFERROR(VLOOKUP(L$4, 'G&amp;A bed avail.'!$AW$38:$BE$52,3,FALSE),"")</f>
        <v>14066.857142857143</v>
      </c>
      <c r="M53" s="107">
        <f>IFERROR(VLOOKUP(M$4, 'G&amp;A bed avail.'!$AW$38:$BE$52,3,FALSE),"")</f>
        <v>14048</v>
      </c>
      <c r="N53" s="107">
        <f>IFERROR(VLOOKUP(N$4, 'G&amp;A bed avail.'!$AW$38:$BE$52,3,FALSE),"")</f>
        <v>14047.428571428571</v>
      </c>
      <c r="O53" s="107">
        <f>IFERROR(VLOOKUP(O$4, 'G&amp;A bed avail.'!$AW$38:$BE$52,3,FALSE),"")</f>
        <v>13978.428571428571</v>
      </c>
      <c r="P53" s="107">
        <f>IFERROR(VLOOKUP(P$4, 'G&amp;A bed avail.'!$AW$38:$BE$52,3,FALSE),"")</f>
        <v>13665.857142857143</v>
      </c>
      <c r="Q53" s="80" t="str">
        <f>IFERROR(VLOOKUP(Q$4, 'G&amp;A bed avail.'!$AW$38:$BD$52,3,FALSE),"")</f>
        <v/>
      </c>
      <c r="Z53" s="130"/>
      <c r="AA53" s="130"/>
      <c r="AB53" s="130"/>
      <c r="AC53" s="130"/>
    </row>
    <row r="54" spans="2:29" ht="15" customHeight="1" x14ac:dyDescent="0.25">
      <c r="B54" s="132"/>
      <c r="C54" s="1" t="s">
        <v>241</v>
      </c>
      <c r="D54" s="107">
        <f>IFERROR(VLOOKUP(D$4, 'G&amp;A bed avail.'!$AW$38:$BE$52,4,FALSE),"")</f>
        <v>18106.428571428572</v>
      </c>
      <c r="E54" s="107">
        <f>IFERROR(VLOOKUP(E$4, 'G&amp;A bed avail.'!$AW$38:$BE$52,4,FALSE),"")</f>
        <v>18141.571428571428</v>
      </c>
      <c r="F54" s="107">
        <f>IFERROR(VLOOKUP(F$4, 'G&amp;A bed avail.'!$AW$38:$BE$52,4,FALSE),"")</f>
        <v>18120.142857142859</v>
      </c>
      <c r="G54" s="107">
        <f>IFERROR(VLOOKUP(G$4, 'G&amp;A bed avail.'!$AW$38:$BE$52,4,FALSE),"")</f>
        <v>17985.857142857141</v>
      </c>
      <c r="H54" s="107">
        <f>IFERROR(VLOOKUP(H$4, 'G&amp;A bed avail.'!$AW$38:$BE$52,4,FALSE),"")</f>
        <v>17884.857142857141</v>
      </c>
      <c r="I54" s="107">
        <f>IFERROR(VLOOKUP(I$4, 'G&amp;A bed avail.'!$AW$38:$BE$52,4,FALSE),"")</f>
        <v>18403.714285714286</v>
      </c>
      <c r="J54" s="107">
        <f>IFERROR(VLOOKUP(J$4, 'G&amp;A bed avail.'!$AW$38:$BE$52,4,FALSE),"")</f>
        <v>18380.285714285714</v>
      </c>
      <c r="K54" s="107">
        <f>IFERROR(VLOOKUP(K$4, 'G&amp;A bed avail.'!$AW$38:$BE$52,4,FALSE),"")</f>
        <v>18287.857142857141</v>
      </c>
      <c r="L54" s="107">
        <f>IFERROR(VLOOKUP(L$4, 'G&amp;A bed avail.'!$AW$38:$BE$52,4,FALSE),"")</f>
        <v>18089.142857142859</v>
      </c>
      <c r="M54" s="107">
        <f>IFERROR(VLOOKUP(M$4, 'G&amp;A bed avail.'!$AW$38:$BE$52,4,FALSE),"")</f>
        <v>18292.285714285714</v>
      </c>
      <c r="N54" s="107">
        <f>IFERROR(VLOOKUP(N$4, 'G&amp;A bed avail.'!$AW$38:$BE$52,4,FALSE),"")</f>
        <v>18279</v>
      </c>
      <c r="O54" s="107">
        <f>IFERROR(VLOOKUP(O$4, 'G&amp;A bed avail.'!$AW$38:$BE$52,4,FALSE),"")</f>
        <v>18324.714285714286</v>
      </c>
      <c r="P54" s="107">
        <f>IFERROR(VLOOKUP(P$4, 'G&amp;A bed avail.'!$AW$38:$BE$52,4,FALSE),"")</f>
        <v>18337.142857142859</v>
      </c>
      <c r="Q54" s="80" t="str">
        <f>IFERROR(VLOOKUP(Q$4, 'G&amp;A bed avail.'!$AW$38:$BD$52,4,FALSE),"")</f>
        <v/>
      </c>
      <c r="Z54" s="130"/>
      <c r="AA54" s="130"/>
      <c r="AB54" s="130"/>
      <c r="AC54" s="130"/>
    </row>
    <row r="55" spans="2:29" ht="15" customHeight="1" x14ac:dyDescent="0.25">
      <c r="B55" s="132"/>
      <c r="C55" s="1" t="s">
        <v>281</v>
      </c>
      <c r="D55" s="107">
        <f>IFERROR(VLOOKUP(D$4, 'G&amp;A bed avail.'!$AW$38:$BE$52,8,FALSE),"")</f>
        <v>10120.714285714286</v>
      </c>
      <c r="E55" s="107">
        <f>IFERROR(VLOOKUP(E$4, 'G&amp;A bed avail.'!$AW$38:$BE$52,8,FALSE),"")</f>
        <v>9961.4285714285706</v>
      </c>
      <c r="F55" s="107">
        <f>IFERROR(VLOOKUP(F$4, 'G&amp;A bed avail.'!$AW$38:$BE$52,8,FALSE),"")</f>
        <v>10067.428571428571</v>
      </c>
      <c r="G55" s="107">
        <f>IFERROR(VLOOKUP(G$4, 'G&amp;A bed avail.'!$AW$38:$BE$52,8,FALSE),"")</f>
        <v>10068.571428571429</v>
      </c>
      <c r="H55" s="107">
        <f>IFERROR(VLOOKUP(H$4, 'G&amp;A bed avail.'!$AW$38:$BE$52,8,FALSE),"")</f>
        <v>10266.571428571429</v>
      </c>
      <c r="I55" s="107">
        <f>IFERROR(VLOOKUP(I$4, 'G&amp;A bed avail.'!$AW$38:$BE$52,8,FALSE),"")</f>
        <v>10352.857142857143</v>
      </c>
      <c r="J55" s="107">
        <f>IFERROR(VLOOKUP(J$4, 'G&amp;A bed avail.'!$AW$38:$BE$52,8,FALSE),"")</f>
        <v>10319.285714285714</v>
      </c>
      <c r="K55" s="107">
        <f>IFERROR(VLOOKUP(K$4, 'G&amp;A bed avail.'!$AW$38:$BE$52,8,FALSE),"")</f>
        <v>10234.714285714286</v>
      </c>
      <c r="L55" s="107">
        <f>IFERROR(VLOOKUP(L$4, 'G&amp;A bed avail.'!$AW$38:$BE$52,8,FALSE),"")</f>
        <v>10248.571428571429</v>
      </c>
      <c r="M55" s="107">
        <f>IFERROR(VLOOKUP(M$4, 'G&amp;A bed avail.'!$AW$38:$BE$52,8,FALSE),"")</f>
        <v>10252.142857142857</v>
      </c>
      <c r="N55" s="107">
        <f>IFERROR(VLOOKUP(N$4, 'G&amp;A bed avail.'!$AW$38:$BE$52,8,FALSE),"")</f>
        <v>10218.142857142857</v>
      </c>
      <c r="O55" s="107">
        <f>IFERROR(VLOOKUP(O$4, 'G&amp;A bed avail.'!$AW$38:$BE$52,8,FALSE),"")</f>
        <v>10218.285714285714</v>
      </c>
      <c r="P55" s="107">
        <f>IFERROR(VLOOKUP(P$4, 'G&amp;A bed avail.'!$AW$38:$BE$52,8,FALSE),"")</f>
        <v>10241.142857142857</v>
      </c>
      <c r="Q55" s="80"/>
      <c r="Z55" s="130"/>
      <c r="AA55" s="130"/>
      <c r="AB55" s="130"/>
      <c r="AC55" s="130"/>
    </row>
    <row r="56" spans="2:29" ht="15" customHeight="1" x14ac:dyDescent="0.25">
      <c r="B56" s="132"/>
      <c r="C56" s="1" t="s">
        <v>282</v>
      </c>
      <c r="D56" s="107">
        <f>IFERROR(VLOOKUP(D$4, 'G&amp;A bed avail.'!$AW$38:$BE$52,5,FALSE),"")</f>
        <v>17178</v>
      </c>
      <c r="E56" s="107">
        <f>IFERROR(VLOOKUP(E$4, 'G&amp;A bed avail.'!$AW$38:$BE$52,5,FALSE),"")</f>
        <v>17220.571428571428</v>
      </c>
      <c r="F56" s="107">
        <f>IFERROR(VLOOKUP(F$4, 'G&amp;A bed avail.'!$AW$38:$BE$52,5,FALSE),"")</f>
        <v>17164.285714285714</v>
      </c>
      <c r="G56" s="107">
        <f>IFERROR(VLOOKUP(G$4, 'G&amp;A bed avail.'!$AW$38:$BE$52,5,FALSE),"")</f>
        <v>16947.285714285714</v>
      </c>
      <c r="H56" s="107">
        <f>IFERROR(VLOOKUP(H$4, 'G&amp;A bed avail.'!$AW$38:$BE$52,5,FALSE),"")</f>
        <v>17244.714285714286</v>
      </c>
      <c r="I56" s="107">
        <f>IFERROR(VLOOKUP(I$4, 'G&amp;A bed avail.'!$AW$38:$BE$52,5,FALSE),"")</f>
        <v>17389</v>
      </c>
      <c r="J56" s="107">
        <f>IFERROR(VLOOKUP(J$4, 'G&amp;A bed avail.'!$AW$38:$BE$52,5,FALSE),"")</f>
        <v>17355.714285714286</v>
      </c>
      <c r="K56" s="107">
        <f>IFERROR(VLOOKUP(K$4, 'G&amp;A bed avail.'!$AW$38:$BE$52,5,FALSE),"")</f>
        <v>17282.428571428572</v>
      </c>
      <c r="L56" s="107">
        <f>IFERROR(VLOOKUP(L$4, 'G&amp;A bed avail.'!$AW$38:$BE$52,5,FALSE),"")</f>
        <v>17287.285714285714</v>
      </c>
      <c r="M56" s="107">
        <f>IFERROR(VLOOKUP(M$4, 'G&amp;A bed avail.'!$AW$38:$BE$52,5,FALSE),"")</f>
        <v>17194</v>
      </c>
      <c r="N56" s="107">
        <f>IFERROR(VLOOKUP(N$4, 'G&amp;A bed avail.'!$AW$38:$BE$52,5,FALSE),"")</f>
        <v>17228</v>
      </c>
      <c r="O56" s="107">
        <f>IFERROR(VLOOKUP(O$4, 'G&amp;A bed avail.'!$AW$38:$BE$52,5,FALSE),"")</f>
        <v>17222.428571428572</v>
      </c>
      <c r="P56" s="107">
        <f>IFERROR(VLOOKUP(P$4, 'G&amp;A bed avail.'!$AW$38:$BE$52,5,FALSE),"")</f>
        <v>17188.714285714286</v>
      </c>
      <c r="Q56" s="80"/>
      <c r="Z56" s="130"/>
      <c r="AA56" s="130"/>
      <c r="AB56" s="130"/>
      <c r="AC56" s="130"/>
    </row>
    <row r="57" spans="2:29" x14ac:dyDescent="0.25">
      <c r="B57" s="132"/>
      <c r="C57" s="1" t="s">
        <v>284</v>
      </c>
      <c r="D57" s="107">
        <f>IFERROR(VLOOKUP(D$4, 'G&amp;A bed avail.'!$AW$38:$BE$52,9,FALSE),"")</f>
        <v>14672.857142857143</v>
      </c>
      <c r="E57" s="107">
        <f>IFERROR(VLOOKUP(E$4, 'G&amp;A bed avail.'!$AW$38:$BE$52,9,FALSE),"")</f>
        <v>14767.857142857143</v>
      </c>
      <c r="F57" s="107">
        <f>IFERROR(VLOOKUP(F$4, 'G&amp;A bed avail.'!$AW$38:$BE$52,9,FALSE),"")</f>
        <v>14714.714285714286</v>
      </c>
      <c r="G57" s="107">
        <f>IFERROR(VLOOKUP(G$4, 'G&amp;A bed avail.'!$AW$38:$BE$52,9,FALSE),"")</f>
        <v>14508.142857142857</v>
      </c>
      <c r="H57" s="107">
        <f>IFERROR(VLOOKUP(H$4, 'G&amp;A bed avail.'!$AW$38:$BE$52,9,FALSE),"")</f>
        <v>14754.857142857143</v>
      </c>
      <c r="I57" s="107">
        <f>IFERROR(VLOOKUP(I$4, 'G&amp;A bed avail.'!$AW$38:$BE$52,9,FALSE),"")</f>
        <v>14881.714285714286</v>
      </c>
      <c r="J57" s="107">
        <f>IFERROR(VLOOKUP(J$4, 'G&amp;A bed avail.'!$AW$38:$BE$52,9,FALSE),"")</f>
        <v>14734.714285714286</v>
      </c>
      <c r="K57" s="107">
        <f>IFERROR(VLOOKUP(K$4, 'G&amp;A bed avail.'!$AW$38:$BE$52,9,FALSE),"")</f>
        <v>14866.142857142857</v>
      </c>
      <c r="L57" s="107">
        <f>IFERROR(VLOOKUP(L$4, 'G&amp;A bed avail.'!$AW$38:$BE$52,9,FALSE),"")</f>
        <v>14926.857142857143</v>
      </c>
      <c r="M57" s="107">
        <f>IFERROR(VLOOKUP(M$4, 'G&amp;A bed avail.'!$AW$38:$BE$52,9,FALSE),"")</f>
        <v>14744.142857142857</v>
      </c>
      <c r="N57" s="107">
        <f>IFERROR(VLOOKUP(N$4, 'G&amp;A bed avail.'!$AW$38:$BE$52,9,FALSE),"")</f>
        <v>14830.428571428571</v>
      </c>
      <c r="O57" s="107">
        <f>IFERROR(VLOOKUP(O$4, 'G&amp;A bed avail.'!$AW$38:$BE$52,9,FALSE),"")</f>
        <v>14824.428571428571</v>
      </c>
      <c r="P57" s="107">
        <f>IFERROR(VLOOKUP(P$4, 'G&amp;A bed avail.'!$AW$38:$BE$52,9,FALSE),"")</f>
        <v>14822</v>
      </c>
      <c r="Q57" s="80" t="str">
        <f>IFERROR(VLOOKUP(Q$4, 'G&amp;A bed avail.'!$AW$38:$BD$52,5,FALSE),"")</f>
        <v/>
      </c>
      <c r="Z57" s="130"/>
      <c r="AA57" s="130"/>
      <c r="AB57" s="130"/>
      <c r="AC57" s="130"/>
    </row>
    <row r="58" spans="2:29" x14ac:dyDescent="0.25">
      <c r="B58" s="132"/>
      <c r="C58" s="1" t="s">
        <v>238</v>
      </c>
      <c r="D58" s="107">
        <f>IFERROR(VLOOKUP(D$4, 'G&amp;A bed avail.'!$AW$38:$BE$52,6,FALSE),"")</f>
        <v>13149.714285714286</v>
      </c>
      <c r="E58" s="107">
        <f>IFERROR(VLOOKUP(E$4, 'G&amp;A bed avail.'!$AW$38:$BE$52,6,FALSE),"")</f>
        <v>13429.857142857143</v>
      </c>
      <c r="F58" s="107">
        <f>IFERROR(VLOOKUP(F$4, 'G&amp;A bed avail.'!$AW$38:$BE$52,6,FALSE),"")</f>
        <v>13420.857142857143</v>
      </c>
      <c r="G58" s="107">
        <f>IFERROR(VLOOKUP(G$4, 'G&amp;A bed avail.'!$AW$38:$BE$52,6,FALSE),"")</f>
        <v>13131.285714285714</v>
      </c>
      <c r="H58" s="107">
        <f>IFERROR(VLOOKUP(H$4, 'G&amp;A bed avail.'!$AW$38:$BE$52,6,FALSE),"")</f>
        <v>13453.857142857143</v>
      </c>
      <c r="I58" s="107">
        <f>IFERROR(VLOOKUP(I$4, 'G&amp;A bed avail.'!$AW$38:$BE$52,6,FALSE),"")</f>
        <v>13478.857142857143</v>
      </c>
      <c r="J58" s="107">
        <f>IFERROR(VLOOKUP(J$4, 'G&amp;A bed avail.'!$AW$38:$BE$52,6,FALSE),"")</f>
        <v>13523</v>
      </c>
      <c r="K58" s="107">
        <f>IFERROR(VLOOKUP(K$4, 'G&amp;A bed avail.'!$AW$38:$BE$52,6,FALSE),"")</f>
        <v>13473.142857142857</v>
      </c>
      <c r="L58" s="107">
        <f>IFERROR(VLOOKUP(L$4, 'G&amp;A bed avail.'!$AW$38:$BE$52,6,FALSE),"")</f>
        <v>13525.428571428571</v>
      </c>
      <c r="M58" s="107">
        <f>IFERROR(VLOOKUP(M$4, 'G&amp;A bed avail.'!$AW$38:$BE$52,6,FALSE),"")</f>
        <v>13470</v>
      </c>
      <c r="N58" s="107">
        <f>IFERROR(VLOOKUP(N$4, 'G&amp;A bed avail.'!$AW$38:$BE$52,6,FALSE),"")</f>
        <v>13413.428571428571</v>
      </c>
      <c r="O58" s="107">
        <f>IFERROR(VLOOKUP(O$4, 'G&amp;A bed avail.'!$AW$38:$BE$52,6,FALSE),"")</f>
        <v>13392.571428571429</v>
      </c>
      <c r="P58" s="107">
        <f>IFERROR(VLOOKUP(P$4, 'G&amp;A bed avail.'!$AW$38:$BE$52,6,FALSE),"")</f>
        <v>13425</v>
      </c>
      <c r="Q58" s="80" t="str">
        <f>IFERROR(VLOOKUP(Q$4, 'G&amp;A bed avail.'!$AW$38:$BD$52,6,FALSE),"")</f>
        <v/>
      </c>
      <c r="Z58" s="50"/>
      <c r="AA58" s="50"/>
      <c r="AB58" s="50"/>
      <c r="AC58" s="50"/>
    </row>
    <row r="59" spans="2:29" x14ac:dyDescent="0.25">
      <c r="B59" s="132"/>
      <c r="C59" s="11" t="s">
        <v>239</v>
      </c>
      <c r="D59" s="107">
        <f>IFERROR(VLOOKUP(D$4, 'G&amp;A bed avail.'!$AW$38:$BE$52,7,FALSE),"")</f>
        <v>9592.1428571428569</v>
      </c>
      <c r="E59" s="107">
        <f>IFERROR(VLOOKUP(E$4, 'G&amp;A bed avail.'!$AW$38:$BE$52,7,FALSE),"")</f>
        <v>9659.8571428571431</v>
      </c>
      <c r="F59" s="107">
        <f>IFERROR(VLOOKUP(F$4, 'G&amp;A bed avail.'!$AW$38:$BE$52,7,FALSE),"")</f>
        <v>9659.4285714285706</v>
      </c>
      <c r="G59" s="107">
        <f>IFERROR(VLOOKUP(G$4, 'G&amp;A bed avail.'!$AW$38:$BE$52,7,FALSE),"")</f>
        <v>9491.1428571428569</v>
      </c>
      <c r="H59" s="107">
        <f>IFERROR(VLOOKUP(H$4, 'G&amp;A bed avail.'!$AW$38:$BE$52,7,FALSE),"")</f>
        <v>9704</v>
      </c>
      <c r="I59" s="107">
        <f>IFERROR(VLOOKUP(I$4, 'G&amp;A bed avail.'!$AW$38:$BE$52,7,FALSE),"")</f>
        <v>9859.4285714285706</v>
      </c>
      <c r="J59" s="107">
        <f>IFERROR(VLOOKUP(J$4, 'G&amp;A bed avail.'!$AW$38:$BE$52,7,FALSE),"")</f>
        <v>9820.4285714285706</v>
      </c>
      <c r="K59" s="107">
        <f>IFERROR(VLOOKUP(K$4, 'G&amp;A bed avail.'!$AW$38:$BE$52,7,FALSE),"")</f>
        <v>9806.8571428571431</v>
      </c>
      <c r="L59" s="107">
        <f>IFERROR(VLOOKUP(L$4, 'G&amp;A bed avail.'!$AW$38:$BE$52,7,FALSE),"")</f>
        <v>9887</v>
      </c>
      <c r="M59" s="107">
        <f>IFERROR(VLOOKUP(M$4, 'G&amp;A bed avail.'!$AW$38:$BE$52,7,FALSE),"")</f>
        <v>9854.1428571428569</v>
      </c>
      <c r="N59" s="107">
        <f>IFERROR(VLOOKUP(N$4, 'G&amp;A bed avail.'!$AW$38:$BE$52,7,FALSE),"")</f>
        <v>9843.7142857142862</v>
      </c>
      <c r="O59" s="107">
        <f>IFERROR(VLOOKUP(O$4, 'G&amp;A bed avail.'!$AW$38:$BE$52,7,FALSE),"")</f>
        <v>9829.4285714285706</v>
      </c>
      <c r="P59" s="107">
        <f>IFERROR(VLOOKUP(P$4, 'G&amp;A bed avail.'!$AW$38:$BE$52,7,FALSE),"")</f>
        <v>9874</v>
      </c>
      <c r="Q59" s="80" t="str">
        <f>IFERROR(VLOOKUP(Q$4, 'G&amp;A bed avail.'!$AW$38:$BD$52,7,FALSE),"")</f>
        <v/>
      </c>
      <c r="Z59" s="50"/>
      <c r="AA59" s="50"/>
      <c r="AB59" s="50"/>
      <c r="AC59" s="50"/>
    </row>
    <row r="60" spans="2:29" ht="7.5" customHeight="1" x14ac:dyDescent="0.25">
      <c r="B60" s="132"/>
      <c r="C60" s="1"/>
      <c r="D60" s="34"/>
      <c r="E60" s="34"/>
      <c r="F60" s="34"/>
      <c r="G60" s="34"/>
      <c r="H60" s="34"/>
      <c r="I60" s="34"/>
      <c r="J60" s="34"/>
      <c r="K60" s="34"/>
      <c r="L60" s="34"/>
      <c r="M60" s="34"/>
      <c r="N60" s="34"/>
      <c r="O60" s="34"/>
      <c r="P60" s="34"/>
      <c r="Q60" s="34"/>
      <c r="Z60" s="29"/>
      <c r="AA60" s="29"/>
      <c r="AB60" s="29"/>
      <c r="AC60" s="29"/>
    </row>
    <row r="61" spans="2:29" x14ac:dyDescent="0.25">
      <c r="B61" s="132"/>
      <c r="C61" s="1" t="s">
        <v>229</v>
      </c>
      <c r="D61" s="136" t="s">
        <v>234</v>
      </c>
      <c r="E61" s="137"/>
      <c r="F61" s="138"/>
      <c r="G61" s="136" t="s">
        <v>278</v>
      </c>
      <c r="H61" s="137"/>
      <c r="I61" s="137"/>
      <c r="J61" s="137"/>
      <c r="K61" s="139" t="s">
        <v>268</v>
      </c>
      <c r="L61" s="140"/>
      <c r="M61" s="140"/>
      <c r="N61" s="144" t="str">
        <f>TEXT('G&amp;A bed avail.'!BM8,"0,0")&amp;" ("&amp;TEXT('G&amp;A bed avail.'!BO8,"d-mmm")&amp;")"</f>
        <v>98,983 (7-Jan)</v>
      </c>
      <c r="O61" s="144"/>
      <c r="P61" s="144"/>
      <c r="Q61" s="77"/>
      <c r="R61" s="59"/>
      <c r="Z61" s="29"/>
      <c r="AA61" s="29"/>
      <c r="AB61" s="29"/>
      <c r="AC61" s="29"/>
    </row>
    <row r="62" spans="2:29" ht="30" customHeight="1" x14ac:dyDescent="0.25">
      <c r="C62" s="1"/>
      <c r="D62" s="127">
        <v>0.94566539218233792</v>
      </c>
      <c r="E62" s="127">
        <v>0.950476516153972</v>
      </c>
      <c r="F62" s="127">
        <v>0.90906682840858299</v>
      </c>
      <c r="G62" s="127">
        <v>0.91743732789226451</v>
      </c>
      <c r="H62" s="127">
        <v>0.9501996217692793</v>
      </c>
      <c r="I62" s="127">
        <v>0.94869313522957421</v>
      </c>
      <c r="J62" s="127">
        <v>0.94774848413008916</v>
      </c>
      <c r="K62" s="127">
        <v>0.95097184441189464</v>
      </c>
      <c r="L62" s="127">
        <v>0.95039060743916115</v>
      </c>
      <c r="M62" s="127">
        <v>0.94971496800215505</v>
      </c>
      <c r="N62" s="127">
        <v>0.94976272248393012</v>
      </c>
      <c r="O62" s="127">
        <v>0.9524075653308276</v>
      </c>
      <c r="P62" s="127">
        <v>0.95201955104258151</v>
      </c>
    </row>
    <row r="63" spans="2:29" ht="15" customHeight="1" x14ac:dyDescent="0.25">
      <c r="B63" s="132" t="s">
        <v>4</v>
      </c>
      <c r="C63" s="1" t="s">
        <v>234</v>
      </c>
      <c r="D63" s="7">
        <v>0.94153307969408606</v>
      </c>
      <c r="E63" s="7">
        <v>0.93393915967339702</v>
      </c>
      <c r="F63" s="7">
        <v>0.91231222866658579</v>
      </c>
      <c r="G63" s="7">
        <v>0.87478774834387107</v>
      </c>
      <c r="H63" s="7">
        <v>0.93198946443206521</v>
      </c>
      <c r="I63" s="7">
        <v>0.94664745216941659</v>
      </c>
      <c r="J63" s="7">
        <v>0.94580710332913653</v>
      </c>
      <c r="K63" s="7">
        <v>0.9462879570034195</v>
      </c>
      <c r="L63" s="7">
        <v>0.94853000050953185</v>
      </c>
      <c r="M63" s="7">
        <v>0.952190950570453</v>
      </c>
      <c r="N63" s="7">
        <v>0.94488805340379345</v>
      </c>
      <c r="O63" s="7">
        <v>0.93928299164347029</v>
      </c>
      <c r="P63" s="7">
        <v>0.93794364898777427</v>
      </c>
      <c r="R63" s="3"/>
      <c r="Z63" s="133" t="s">
        <v>11</v>
      </c>
      <c r="AA63" s="133"/>
      <c r="AB63" s="133"/>
      <c r="AC63" s="133"/>
    </row>
    <row r="64" spans="2:29" ht="7.5" customHeight="1" x14ac:dyDescent="0.25">
      <c r="B64" s="132"/>
      <c r="C64" s="1"/>
      <c r="D64" s="31">
        <v>0.85</v>
      </c>
      <c r="E64" s="31">
        <v>0.85</v>
      </c>
      <c r="F64" s="31">
        <v>0.85</v>
      </c>
      <c r="G64" s="31">
        <v>0.85</v>
      </c>
      <c r="H64" s="31">
        <v>0.85</v>
      </c>
      <c r="I64" s="31">
        <v>0.85</v>
      </c>
      <c r="J64" s="31">
        <v>0.85</v>
      </c>
      <c r="K64" s="31">
        <v>0.85</v>
      </c>
      <c r="L64" s="31">
        <v>0.85</v>
      </c>
      <c r="M64" s="31">
        <v>0.85</v>
      </c>
      <c r="N64" s="31">
        <v>0.85</v>
      </c>
      <c r="O64" s="31">
        <v>0.85</v>
      </c>
      <c r="P64" s="31">
        <v>0.85</v>
      </c>
      <c r="Q64" s="31">
        <v>0.85</v>
      </c>
      <c r="Z64" s="133"/>
      <c r="AA64" s="133"/>
      <c r="AB64" s="133"/>
      <c r="AC64" s="133"/>
    </row>
    <row r="65" spans="2:29" x14ac:dyDescent="0.25">
      <c r="B65" s="132"/>
      <c r="C65" s="16" t="s">
        <v>268</v>
      </c>
      <c r="D65" s="62">
        <f>IFERROR(VLOOKUP(D$4,'G&amp;A bed occ.'!$AA$3:$AI$16,2,FALSE),"")</f>
        <v>0.94888026894233257</v>
      </c>
      <c r="E65" s="62">
        <f>IFERROR(VLOOKUP(E$4,'G&amp;A bed occ.'!$AA$3:$AI$16,2,FALSE),"")</f>
        <v>0.94930784695220127</v>
      </c>
      <c r="F65" s="62">
        <f>IFERROR(VLOOKUP(F$4,'G&amp;A bed occ.'!$AA$3:$AI$16,2,FALSE),"")</f>
        <v>0.94160427020062576</v>
      </c>
      <c r="G65" s="62">
        <f>IFERROR(VLOOKUP(G$4,'G&amp;A bed occ.'!$AA$3:$AI$16,2,FALSE),"")</f>
        <v>0.89356762986475669</v>
      </c>
      <c r="H65" s="62">
        <f>IFERROR(VLOOKUP(H$4,'G&amp;A bed occ.'!$AA$3:$AI$16,2,FALSE),"")</f>
        <v>0.94167223037579306</v>
      </c>
      <c r="I65" s="62">
        <f>IFERROR(VLOOKUP(I$4,'G&amp;A bed occ.'!$AA$3:$AI$16,2,FALSE),"")</f>
        <v>0.95106855192815454</v>
      </c>
      <c r="J65" s="62">
        <f>IFERROR(VLOOKUP(J$4,'G&amp;A bed occ.'!$AA$3:$AI$16,2,FALSE),"")</f>
        <v>0.94967036547827555</v>
      </c>
      <c r="K65" s="62">
        <f>IFERROR(VLOOKUP(K$4,'G&amp;A bed occ.'!$AA$3:$AI$16,2,FALSE),"")</f>
        <v>0.94301021970171883</v>
      </c>
      <c r="L65" s="62">
        <f>IFERROR(VLOOKUP(L$4,'G&amp;A bed occ.'!$AA$3:$AI$16,2,FALSE),"")</f>
        <v>0.94817681844545032</v>
      </c>
      <c r="M65" s="62">
        <f>IFERROR(VLOOKUP(M$4,'G&amp;A bed occ.'!$AA$3:$AI$16,2,FALSE),"")</f>
        <v>0.94163650776734609</v>
      </c>
      <c r="N65" s="62">
        <f>IFERROR(VLOOKUP(N$4,'G&amp;A bed occ.'!$AA$3:$AI$16,2,FALSE),"")</f>
        <v>0.94020475284699301</v>
      </c>
      <c r="O65" s="62">
        <f>IFERROR(VLOOKUP(O$4,'G&amp;A bed occ.'!$AA$3:$AI$16,2,FALSE),"")</f>
        <v>0.93727685484389334</v>
      </c>
      <c r="P65" s="62">
        <f>IFERROR(VLOOKUP(P$4,'G&amp;A bed occ.'!$AA$3:$AI$16,2,FALSE),"")</f>
        <v>0.9394634758528988</v>
      </c>
      <c r="Q65" s="82" t="str">
        <f>IFERROR(VLOOKUP(Q$4,'G&amp;A bed occ.'!$AA$3:$AH$17,2,FALSE),"")</f>
        <v/>
      </c>
      <c r="R65" s="2"/>
      <c r="Z65" s="133"/>
      <c r="AA65" s="133"/>
      <c r="AB65" s="133"/>
      <c r="AC65" s="133"/>
    </row>
    <row r="66" spans="2:29" x14ac:dyDescent="0.25">
      <c r="B66" s="132"/>
      <c r="C66" s="1" t="s">
        <v>1</v>
      </c>
      <c r="D66" s="108">
        <f>IFERROR(VLOOKUP(D$4,'G&amp;A bed occ.'!$AA$3:$AI$16,3,FALSE),"")</f>
        <v>0.95345720000824863</v>
      </c>
      <c r="E66" s="108">
        <f>IFERROR(VLOOKUP(E$4,'G&amp;A bed occ.'!$AA$3:$AI$16,3,FALSE),"")</f>
        <v>0.94633047342756615</v>
      </c>
      <c r="F66" s="108">
        <f>IFERROR(VLOOKUP(F$4,'G&amp;A bed occ.'!$AA$3:$AI$16,3,FALSE),"")</f>
        <v>0.9434586032524177</v>
      </c>
      <c r="G66" s="108">
        <f>IFERROR(VLOOKUP(G$4,'G&amp;A bed occ.'!$AA$3:$AI$16,3,FALSE),"")</f>
        <v>0.89764174087335968</v>
      </c>
      <c r="H66" s="108">
        <f>IFERROR(VLOOKUP(H$4,'G&amp;A bed occ.'!$AA$3:$AI$16,3,FALSE),"")</f>
        <v>0.93507847996695581</v>
      </c>
      <c r="I66" s="108">
        <f>IFERROR(VLOOKUP(I$4,'G&amp;A bed occ.'!$AA$3:$AI$16,3,FALSE),"")</f>
        <v>0.95087633687121309</v>
      </c>
      <c r="J66" s="108">
        <f>IFERROR(VLOOKUP(J$4,'G&amp;A bed occ.'!$AA$3:$AI$16,3,FALSE),"")</f>
        <v>0.95137774889841009</v>
      </c>
      <c r="K66" s="108">
        <f>IFERROR(VLOOKUP(K$4,'G&amp;A bed occ.'!$AA$3:$AI$16,3,FALSE),"")</f>
        <v>0.94732985998046237</v>
      </c>
      <c r="L66" s="108">
        <f>IFERROR(VLOOKUP(L$4,'G&amp;A bed occ.'!$AA$3:$AI$16,3,FALSE),"")</f>
        <v>0.95152739976439049</v>
      </c>
      <c r="M66" s="108">
        <f>IFERROR(VLOOKUP(M$4,'G&amp;A bed occ.'!$AA$3:$AI$16,3,FALSE),"")</f>
        <v>0.94637772534982101</v>
      </c>
      <c r="N66" s="108">
        <f>IFERROR(VLOOKUP(N$4,'G&amp;A bed occ.'!$AA$3:$AI$16,3,FALSE),"")</f>
        <v>0.94691453443436524</v>
      </c>
      <c r="O66" s="108">
        <f>IFERROR(VLOOKUP(O$4,'G&amp;A bed occ.'!$AA$3:$AI$16,3,FALSE),"")</f>
        <v>0.94479248638207847</v>
      </c>
      <c r="P66" s="108">
        <f>IFERROR(VLOOKUP(P$4,'G&amp;A bed occ.'!$AA$3:$AI$16,3,FALSE),"")</f>
        <v>0.94532777202830831</v>
      </c>
      <c r="Q66" s="83" t="str">
        <f>IFERROR(VLOOKUP(Q$4,'G&amp;A bed occ.'!$AA$3:$AH$17,3,FALSE),"")</f>
        <v/>
      </c>
      <c r="Z66" s="133"/>
      <c r="AA66" s="133"/>
      <c r="AB66" s="133"/>
      <c r="AC66" s="133"/>
    </row>
    <row r="67" spans="2:29" ht="15" customHeight="1" x14ac:dyDescent="0.25">
      <c r="B67" s="132"/>
      <c r="C67" s="1" t="s">
        <v>241</v>
      </c>
      <c r="D67" s="108">
        <f>IFERROR(VLOOKUP(D$4,'G&amp;A bed occ.'!$AA$3:$AI$16,4,FALSE),"")</f>
        <v>0.95322892421791783</v>
      </c>
      <c r="E67" s="108">
        <f>IFERROR(VLOOKUP(E$4,'G&amp;A bed occ.'!$AA$3:$AI$16,4,FALSE),"")</f>
        <v>0.9552487971588538</v>
      </c>
      <c r="F67" s="108">
        <f>IFERROR(VLOOKUP(F$4,'G&amp;A bed occ.'!$AA$3:$AI$16,4,FALSE),"")</f>
        <v>0.95084397000969723</v>
      </c>
      <c r="G67" s="108">
        <f>IFERROR(VLOOKUP(G$4,'G&amp;A bed occ.'!$AA$3:$AI$16,4,FALSE),"")</f>
        <v>0.90876164605523391</v>
      </c>
      <c r="H67" s="108">
        <f>IFERROR(VLOOKUP(H$4,'G&amp;A bed occ.'!$AA$3:$AI$16,4,FALSE),"")</f>
        <v>0.95291307890154475</v>
      </c>
      <c r="I67" s="108">
        <f>IFERROR(VLOOKUP(I$4,'G&amp;A bed occ.'!$AA$3:$AI$16,4,FALSE),"")</f>
        <v>0.95667023737444301</v>
      </c>
      <c r="J67" s="108">
        <f>IFERROR(VLOOKUP(J$4,'G&amp;A bed occ.'!$AA$3:$AI$16,4,FALSE),"")</f>
        <v>0.95897001445648289</v>
      </c>
      <c r="K67" s="108">
        <f>IFERROR(VLOOKUP(K$4,'G&amp;A bed occ.'!$AA$3:$AI$16,4,FALSE),"")</f>
        <v>0.94547513963207441</v>
      </c>
      <c r="L67" s="108">
        <f>IFERROR(VLOOKUP(L$4,'G&amp;A bed occ.'!$AA$3:$AI$16,4,FALSE),"")</f>
        <v>0.95405294414960828</v>
      </c>
      <c r="M67" s="108">
        <f>IFERROR(VLOOKUP(M$4,'G&amp;A bed occ.'!$AA$3:$AI$16,4,FALSE),"")</f>
        <v>0.95154085250613063</v>
      </c>
      <c r="N67" s="108">
        <f>IFERROR(VLOOKUP(N$4,'G&amp;A bed occ.'!$AA$3:$AI$16,4,FALSE),"")</f>
        <v>0.94654287121052261</v>
      </c>
      <c r="O67" s="108">
        <f>IFERROR(VLOOKUP(O$4,'G&amp;A bed occ.'!$AA$3:$AI$16,4,FALSE),"")</f>
        <v>0.94125030209007354</v>
      </c>
      <c r="P67" s="108">
        <f>IFERROR(VLOOKUP(P$4,'G&amp;A bed occ.'!$AA$3:$AI$16,4,FALSE),"")</f>
        <v>0.94586319725771273</v>
      </c>
      <c r="Q67" s="83" t="str">
        <f>IFERROR(VLOOKUP(Q$4,'G&amp;A bed occ.'!$AA$3:$AH$17,4,FALSE),"")</f>
        <v/>
      </c>
      <c r="Z67" s="130" t="s">
        <v>230</v>
      </c>
      <c r="AA67" s="130"/>
      <c r="AB67" s="130"/>
      <c r="AC67" s="130"/>
    </row>
    <row r="68" spans="2:29" ht="15" customHeight="1" x14ac:dyDescent="0.25">
      <c r="B68" s="132"/>
      <c r="C68" s="1" t="s">
        <v>281</v>
      </c>
      <c r="D68" s="108">
        <f>IFERROR(VLOOKUP(D$4,'G&amp;A bed occ.'!$AA$3:$AI$16,8,FALSE),"")</f>
        <v>0.95505681417178345</v>
      </c>
      <c r="E68" s="108">
        <f>IFERROR(VLOOKUP(E$4,'G&amp;A bed occ.'!$AA$3:$AI$16,8,FALSE),"")</f>
        <v>0.96275634590563608</v>
      </c>
      <c r="F68" s="108">
        <f>IFERROR(VLOOKUP(F$4,'G&amp;A bed occ.'!$AA$3:$AI$16,8,FALSE),"")</f>
        <v>0.95288909070269046</v>
      </c>
      <c r="G68" s="108">
        <f>IFERROR(VLOOKUP(G$4,'G&amp;A bed occ.'!$AA$3:$AI$16,8,FALSE),"")</f>
        <v>0.90692395005675364</v>
      </c>
      <c r="H68" s="108">
        <f>IFERROR(VLOOKUP(H$4,'G&amp;A bed occ.'!$AA$3:$AI$16,8,FALSE),"")</f>
        <v>0.95854785294854317</v>
      </c>
      <c r="I68" s="108">
        <f>IFERROR(VLOOKUP(I$4,'G&amp;A bed occ.'!$AA$3:$AI$16,8,FALSE),"")</f>
        <v>0.96172209190009661</v>
      </c>
      <c r="J68" s="108">
        <f>IFERROR(VLOOKUP(J$4,'G&amp;A bed occ.'!$AA$3:$AI$16,8,FALSE),"")</f>
        <v>0.96379871253547444</v>
      </c>
      <c r="K68" s="108">
        <f>IFERROR(VLOOKUP(K$4,'G&amp;A bed occ.'!$AA$3:$AI$16,8,FALSE),"")</f>
        <v>0.95393827729157066</v>
      </c>
      <c r="L68" s="108">
        <f>IFERROR(VLOOKUP(L$4,'G&amp;A bed occ.'!$AA$3:$AI$16,8,FALSE),"")</f>
        <v>0.94775578477836631</v>
      </c>
      <c r="M68" s="108">
        <f>IFERROR(VLOOKUP(M$4,'G&amp;A bed occ.'!$AA$3:$AI$16,8,FALSE),"")</f>
        <v>0.95279035741656792</v>
      </c>
      <c r="N68" s="108">
        <f>IFERROR(VLOOKUP(N$4,'G&amp;A bed occ.'!$AA$3:$AI$16,8,FALSE),"")</f>
        <v>0.94652369035469119</v>
      </c>
      <c r="O68" s="108">
        <f>IFERROR(VLOOKUP(O$4,'G&amp;A bed occ.'!$AA$3:$AI$16,8,FALSE),"")</f>
        <v>0.95145956828095291</v>
      </c>
      <c r="P68" s="108">
        <f>IFERROR(VLOOKUP(P$4,'G&amp;A bed occ.'!$AA$3:$AI$16,8,FALSE),"")</f>
        <v>0.95343711639325968</v>
      </c>
      <c r="Q68" s="83"/>
      <c r="Z68" s="130"/>
      <c r="AA68" s="130"/>
      <c r="AB68" s="130"/>
      <c r="AC68" s="130"/>
    </row>
    <row r="69" spans="2:29" ht="15" customHeight="1" x14ac:dyDescent="0.25">
      <c r="B69" s="132"/>
      <c r="C69" s="1" t="s">
        <v>282</v>
      </c>
      <c r="D69" s="108">
        <f>IFERROR(VLOOKUP(D$4,'G&amp;A bed occ.'!$AA$3:$AI$16,5,FALSE),"")</f>
        <v>0.93248008249754666</v>
      </c>
      <c r="E69" s="108">
        <f>IFERROR(VLOOKUP(E$4,'G&amp;A bed occ.'!$AA$3:$AI$16,5,FALSE),"")</f>
        <v>0.93234005840191136</v>
      </c>
      <c r="F69" s="108">
        <f>IFERROR(VLOOKUP(F$4,'G&amp;A bed occ.'!$AA$3:$AI$16,5,FALSE),"")</f>
        <v>0.92179775280898879</v>
      </c>
      <c r="G69" s="108">
        <f>IFERROR(VLOOKUP(G$4,'G&amp;A bed occ.'!$AA$3:$AI$16,5,FALSE),"")</f>
        <v>0.8562854565838609</v>
      </c>
      <c r="H69" s="108">
        <f>IFERROR(VLOOKUP(H$4,'G&amp;A bed occ.'!$AA$3:$AI$16,5,FALSE),"")</f>
        <v>0.92078732199514546</v>
      </c>
      <c r="I69" s="108">
        <f>IFERROR(VLOOKUP(I$4,'G&amp;A bed occ.'!$AA$3:$AI$16,5,FALSE),"")</f>
        <v>0.93615011131832115</v>
      </c>
      <c r="J69" s="108">
        <f>IFERROR(VLOOKUP(J$4,'G&amp;A bed occ.'!$AA$3:$AI$16,5,FALSE),"")</f>
        <v>0.93401102971437977</v>
      </c>
      <c r="K69" s="108">
        <f>IFERROR(VLOOKUP(K$4,'G&amp;A bed occ.'!$AA$3:$AI$16,5,FALSE),"")</f>
        <v>0.92219182158592128</v>
      </c>
      <c r="L69" s="108">
        <f>IFERROR(VLOOKUP(L$4,'G&amp;A bed occ.'!$AA$3:$AI$16,5,FALSE),"")</f>
        <v>0.92985761624976238</v>
      </c>
      <c r="M69" s="108">
        <f>IFERROR(VLOOKUP(M$4,'G&amp;A bed occ.'!$AA$3:$AI$16,5,FALSE),"")</f>
        <v>0.91866764153608405</v>
      </c>
      <c r="N69" s="108">
        <f>IFERROR(VLOOKUP(N$4,'G&amp;A bed occ.'!$AA$3:$AI$16,5,FALSE),"")</f>
        <v>0.92006368370426883</v>
      </c>
      <c r="O69" s="108">
        <f>IFERROR(VLOOKUP(O$4,'G&amp;A bed occ.'!$AA$3:$AI$16,5,FALSE),"")</f>
        <v>0.91101304776993453</v>
      </c>
      <c r="P69" s="108">
        <f>IFERROR(VLOOKUP(P$4,'G&amp;A bed occ.'!$AA$3:$AI$16,5,FALSE),"")</f>
        <v>0.91531819050706031</v>
      </c>
      <c r="Q69" s="83"/>
      <c r="Z69" s="130"/>
      <c r="AA69" s="130"/>
      <c r="AB69" s="130"/>
      <c r="AC69" s="130"/>
    </row>
    <row r="70" spans="2:29" x14ac:dyDescent="0.25">
      <c r="B70" s="132"/>
      <c r="C70" s="1" t="s">
        <v>284</v>
      </c>
      <c r="D70" s="108">
        <f>IFERROR(VLOOKUP(D$4,'G&amp;A bed occ.'!$AA$3:$AI$16,9,FALSE),"")</f>
        <v>0.94785317885308151</v>
      </c>
      <c r="E70" s="108">
        <f>IFERROR(VLOOKUP(E$4,'G&amp;A bed occ.'!$AA$3:$AI$16,9,FALSE),"")</f>
        <v>0.94763724304715835</v>
      </c>
      <c r="F70" s="108">
        <f>IFERROR(VLOOKUP(F$4,'G&amp;A bed occ.'!$AA$3:$AI$16,9,FALSE),"")</f>
        <v>0.93476889022649823</v>
      </c>
      <c r="G70" s="108">
        <f>IFERROR(VLOOKUP(G$4,'G&amp;A bed occ.'!$AA$3:$AI$16,9,FALSE),"")</f>
        <v>0.89023897909548333</v>
      </c>
      <c r="H70" s="108">
        <f>IFERROR(VLOOKUP(H$4,'G&amp;A bed occ.'!$AA$3:$AI$16,9,FALSE),"")</f>
        <v>0.93461717206924599</v>
      </c>
      <c r="I70" s="108">
        <f>IFERROR(VLOOKUP(I$4,'G&amp;A bed occ.'!$AA$3:$AI$16,9,FALSE),"")</f>
        <v>0.94696271550896594</v>
      </c>
      <c r="J70" s="108">
        <f>IFERROR(VLOOKUP(J$4,'G&amp;A bed occ.'!$AA$3:$AI$16,9,FALSE),"")</f>
        <v>0.93994745159632742</v>
      </c>
      <c r="K70" s="108">
        <f>IFERROR(VLOOKUP(K$4,'G&amp;A bed occ.'!$AA$3:$AI$16,9,FALSE),"")</f>
        <v>0.94191018902011281</v>
      </c>
      <c r="L70" s="108">
        <f>IFERROR(VLOOKUP(L$4,'G&amp;A bed occ.'!$AA$3:$AI$16,9,FALSE),"")</f>
        <v>0.94520901921751777</v>
      </c>
      <c r="M70" s="108">
        <f>IFERROR(VLOOKUP(M$4,'G&amp;A bed occ.'!$AA$3:$AI$16,9,FALSE),"")</f>
        <v>0.93047117983896754</v>
      </c>
      <c r="N70" s="108">
        <f>IFERROR(VLOOKUP(N$4,'G&amp;A bed occ.'!$AA$3:$AI$16,9,FALSE),"")</f>
        <v>0.93766676620461797</v>
      </c>
      <c r="O70" s="108">
        <f>IFERROR(VLOOKUP(O$4,'G&amp;A bed occ.'!$AA$3:$AI$16,9,FALSE),"")</f>
        <v>0.93423981651906607</v>
      </c>
      <c r="P70" s="108">
        <f>IFERROR(VLOOKUP(P$4,'G&amp;A bed occ.'!$AA$3:$AI$16,9,FALSE),"")</f>
        <v>0.93220502342078382</v>
      </c>
      <c r="Q70" s="83" t="str">
        <f>IFERROR(VLOOKUP(Q$4,'G&amp;A bed occ.'!$AA$3:$AH$17,5,FALSE),"")</f>
        <v/>
      </c>
      <c r="Z70" s="130"/>
      <c r="AA70" s="130"/>
      <c r="AB70" s="130"/>
      <c r="AC70" s="130"/>
    </row>
    <row r="71" spans="2:29" x14ac:dyDescent="0.25">
      <c r="B71" s="132"/>
      <c r="C71" s="1" t="s">
        <v>238</v>
      </c>
      <c r="D71" s="108">
        <f>IFERROR(VLOOKUP(D$4,'G&amp;A bed occ.'!$AA$3:$AI$16,6,FALSE),"")</f>
        <v>0.95727229271684333</v>
      </c>
      <c r="E71" s="108">
        <f>IFERROR(VLOOKUP(E$4,'G&amp;A bed occ.'!$AA$3:$AI$16,6,FALSE),"")</f>
        <v>0.96017402589113809</v>
      </c>
      <c r="F71" s="108">
        <f>IFERROR(VLOOKUP(F$4,'G&amp;A bed occ.'!$AA$3:$AI$16,6,FALSE),"")</f>
        <v>0.95290911800395972</v>
      </c>
      <c r="G71" s="108">
        <f>IFERROR(VLOOKUP(G$4,'G&amp;A bed occ.'!$AA$3:$AI$16,6,FALSE),"")</f>
        <v>0.91147640857711676</v>
      </c>
      <c r="H71" s="108">
        <f>IFERROR(VLOOKUP(H$4,'G&amp;A bed occ.'!$AA$3:$AI$16,6,FALSE),"")</f>
        <v>0.95554116185480531</v>
      </c>
      <c r="I71" s="108">
        <f>IFERROR(VLOOKUP(I$4,'G&amp;A bed occ.'!$AA$3:$AI$16,6,FALSE),"")</f>
        <v>0.96308504324232658</v>
      </c>
      <c r="J71" s="108">
        <f>IFERROR(VLOOKUP(J$4,'G&amp;A bed occ.'!$AA$3:$AI$16,6,FALSE),"")</f>
        <v>0.95809256187870395</v>
      </c>
      <c r="K71" s="108">
        <f>IFERROR(VLOOKUP(K$4,'G&amp;A bed occ.'!$AA$3:$AI$16,6,FALSE),"")</f>
        <v>0.95445966579014341</v>
      </c>
      <c r="L71" s="108">
        <f>IFERROR(VLOOKUP(L$4,'G&amp;A bed occ.'!$AA$3:$AI$16,6,FALSE),"")</f>
        <v>0.96154333636113987</v>
      </c>
      <c r="M71" s="108">
        <f>IFERROR(VLOOKUP(M$4,'G&amp;A bed occ.'!$AA$3:$AI$16,6,FALSE),"")</f>
        <v>0.95748223565595503</v>
      </c>
      <c r="N71" s="108">
        <f>IFERROR(VLOOKUP(N$4,'G&amp;A bed occ.'!$AA$3:$AI$16,6,FALSE),"")</f>
        <v>0.95302149232112809</v>
      </c>
      <c r="O71" s="108">
        <f>IFERROR(VLOOKUP(O$4,'G&amp;A bed occ.'!$AA$3:$AI$16,6,FALSE),"")</f>
        <v>0.95246831932414555</v>
      </c>
      <c r="P71" s="108">
        <f>IFERROR(VLOOKUP(P$4,'G&amp;A bed occ.'!$AA$3:$AI$16,6,FALSE),"")</f>
        <v>0.95466879489225853</v>
      </c>
      <c r="Q71" s="83" t="str">
        <f>IFERROR(VLOOKUP(Q$4,'G&amp;A bed occ.'!$AA$3:$AH$17,6,FALSE),"")</f>
        <v/>
      </c>
      <c r="Z71" s="130"/>
      <c r="AA71" s="130"/>
      <c r="AB71" s="130"/>
      <c r="AC71" s="130"/>
    </row>
    <row r="72" spans="2:29" x14ac:dyDescent="0.25">
      <c r="B72" s="132"/>
      <c r="C72" s="11" t="s">
        <v>239</v>
      </c>
      <c r="D72" s="108">
        <f>IFERROR(VLOOKUP(D$4,'G&amp;A bed occ.'!$AA$3:$AI$16,7,FALSE),"")</f>
        <v>0.94698041551865364</v>
      </c>
      <c r="E72" s="108">
        <f>IFERROR(VLOOKUP(E$4,'G&amp;A bed occ.'!$AA$3:$AI$16,7,FALSE),"")</f>
        <v>0.94625770863218917</v>
      </c>
      <c r="F72" s="108">
        <f>IFERROR(VLOOKUP(F$4,'G&amp;A bed occ.'!$AA$3:$AI$16,7,FALSE),"")</f>
        <v>0.93974798864174158</v>
      </c>
      <c r="G72" s="108">
        <f>IFERROR(VLOOKUP(G$4,'G&amp;A bed occ.'!$AA$3:$AI$16,7,FALSE),"")</f>
        <v>0.89161323339052956</v>
      </c>
      <c r="H72" s="108">
        <f>IFERROR(VLOOKUP(H$4,'G&amp;A bed occ.'!$AA$3:$AI$16,7,FALSE),"")</f>
        <v>0.94111412083382406</v>
      </c>
      <c r="I72" s="108">
        <f>IFERROR(VLOOKUP(I$4,'G&amp;A bed occ.'!$AA$3:$AI$16,7,FALSE),"")</f>
        <v>0.94578068853599162</v>
      </c>
      <c r="J72" s="108">
        <f>IFERROR(VLOOKUP(J$4,'G&amp;A bed occ.'!$AA$3:$AI$16,7,FALSE),"")</f>
        <v>0.94563810133395398</v>
      </c>
      <c r="K72" s="108">
        <f>IFERROR(VLOOKUP(K$4,'G&amp;A bed occ.'!$AA$3:$AI$16,7,FALSE),"")</f>
        <v>0.9434506467777648</v>
      </c>
      <c r="L72" s="108">
        <f>IFERROR(VLOOKUP(L$4,'G&amp;A bed occ.'!$AA$3:$AI$16,7,FALSE),"")</f>
        <v>0.95132135993873634</v>
      </c>
      <c r="M72" s="108">
        <f>IFERROR(VLOOKUP(M$4,'G&amp;A bed occ.'!$AA$3:$AI$16,7,FALSE),"")</f>
        <v>0.94001072790269502</v>
      </c>
      <c r="N72" s="108">
        <f>IFERROR(VLOOKUP(N$4,'G&amp;A bed occ.'!$AA$3:$AI$16,7,FALSE),"")</f>
        <v>0.93390996429919015</v>
      </c>
      <c r="O72" s="108">
        <f>IFERROR(VLOOKUP(O$4,'G&amp;A bed occ.'!$AA$3:$AI$16,7,FALSE),"")</f>
        <v>0.93433712176263695</v>
      </c>
      <c r="P72" s="108">
        <f>IFERROR(VLOOKUP(P$4,'G&amp;A bed occ.'!$AA$3:$AI$16,7,FALSE),"")</f>
        <v>0.93722329928528025</v>
      </c>
      <c r="Q72" s="83" t="str">
        <f>IFERROR(VLOOKUP(Q$4,'G&amp;A bed occ.'!$AA$3:$AH$17,7,FALSE),"")</f>
        <v/>
      </c>
      <c r="Z72" s="130"/>
      <c r="AA72" s="130"/>
      <c r="AB72" s="130"/>
      <c r="AC72" s="130"/>
    </row>
    <row r="73" spans="2:29" ht="7.5" customHeight="1" x14ac:dyDescent="0.25">
      <c r="B73" s="132"/>
      <c r="C73" s="8"/>
      <c r="Q73" s="84"/>
      <c r="Z73" s="130"/>
      <c r="AA73" s="130"/>
      <c r="AB73" s="130"/>
      <c r="AC73" s="130"/>
    </row>
    <row r="74" spans="2:29" ht="15" customHeight="1" x14ac:dyDescent="0.25">
      <c r="B74" s="132"/>
      <c r="C74" s="9" t="s">
        <v>6</v>
      </c>
      <c r="D74" s="63">
        <f>IF(ISBLANK(HLOOKUP(D4, 'G&amp;A bed occ.'!AM149:AZ150,2,FALSE)),"",HLOOKUP(D4,'G&amp;A bed occ.'!AM149:AZ150,2,FALSE))</f>
        <v>129</v>
      </c>
      <c r="E74" s="63">
        <f>IF(ISBLANK(HLOOKUP(E4, 'G&amp;A bed occ.'!AN149:BA150,2,FALSE)),"",HLOOKUP(E4,'G&amp;A bed occ.'!AN149:BA150,2,FALSE))</f>
        <v>130</v>
      </c>
      <c r="F74" s="63">
        <f>IF(ISBLANK(HLOOKUP(F4, 'G&amp;A bed occ.'!AO149:BB150,2,FALSE))," ",HLOOKUP(F4,'G&amp;A bed occ.'!AO149:BB150,2,FALSE))</f>
        <v>128</v>
      </c>
      <c r="G74" s="63">
        <f>IF(ISBLANK(HLOOKUP(G4, 'G&amp;A bed occ.'!AP149:BC150,2,FALSE)),"",HLOOKUP(G4,'G&amp;A bed occ.'!AP149:BC150,2,FALSE))</f>
        <v>124</v>
      </c>
      <c r="H74" s="63">
        <f>IF(ISBLANK(HLOOKUP(H4, 'G&amp;A bed occ.'!AQ149:BD150,2,FALSE)),"",HLOOKUP(H4,'G&amp;A bed occ.'!AQ149:BD150,2,FALSE))</f>
        <v>126</v>
      </c>
      <c r="I74" s="63">
        <f>IF(ISBLANK(HLOOKUP(I4,'G&amp;A bed occ.'!AR149:BE150,2,FALSE)),"",HLOOKUP(I4,'G&amp;A bed occ.'!AR149:BE150,2,FALSE))</f>
        <v>129</v>
      </c>
      <c r="J74" s="63">
        <f>IF(ISBLANK(HLOOKUP(J4, 'G&amp;A bed occ.'!AS149:BF150,2,FALSE)),"",HLOOKUP(J4,'G&amp;A bed occ.'!AS149:BF150,2,FALSE))</f>
        <v>129</v>
      </c>
      <c r="K74" s="63">
        <f>IF(ISBLANK(HLOOKUP(K4, 'G&amp;A bed occ.'!AT149:BG150,2,FALSE)),"",HLOOKUP(K4,'G&amp;A bed occ.'!AT149:BG150,2,FALSE))</f>
        <v>130</v>
      </c>
      <c r="L74" s="63">
        <f>IF(ISBLANK(HLOOKUP(L4, 'G&amp;A bed occ.'!AU149:BH150,2,FALSE)),"",HLOOKUP(L4,'G&amp;A bed occ.'!AU149:BH150,2,FALSE))</f>
        <v>122</v>
      </c>
      <c r="M74" s="63">
        <f>IF(ISBLANK(HLOOKUP(M4, 'G&amp;A bed occ.'!AV149:BI150,2,FALSE)),"",HLOOKUP(M4,'G&amp;A bed occ.'!AV149:BI150,2,FALSE))</f>
        <v>130</v>
      </c>
      <c r="N74" s="63">
        <f>IF(ISBLANK(HLOOKUP(N4, 'G&amp;A bed occ.'!AW149:BJ150,2,FALSE)),"",HLOOKUP(N4,'G&amp;A bed occ.'!AW149:BJ150,2,FALSE))</f>
        <v>129</v>
      </c>
      <c r="O74" s="63">
        <f>IF(ISBLANK(HLOOKUP(O4, 'G&amp;A bed occ.'!AX149:BK150,2,FALSE)),"",HLOOKUP(O4,'G&amp;A bed occ.'!AX149:BK150,2,FALSE))</f>
        <v>128</v>
      </c>
      <c r="P74" s="63">
        <f>IF(ISBLANK(HLOOKUP(P4, 'G&amp;A bed occ.'!AY149:BL150,2,FALSE)),"",HLOOKUP(P4,'G&amp;A bed occ.'!AY149:BL150,2,FALSE))</f>
        <v>129</v>
      </c>
      <c r="Q74" s="85"/>
      <c r="Z74" s="130"/>
      <c r="AA74" s="130"/>
      <c r="AB74" s="130"/>
      <c r="AC74" s="130"/>
    </row>
    <row r="75" spans="2:29" ht="7.5" customHeight="1" x14ac:dyDescent="0.25">
      <c r="B75" s="132"/>
      <c r="C75" s="9"/>
      <c r="Q75" s="84"/>
      <c r="Z75" s="130"/>
      <c r="AA75" s="130"/>
      <c r="AB75" s="130"/>
      <c r="AC75" s="130"/>
    </row>
    <row r="76" spans="2:29" x14ac:dyDescent="0.25">
      <c r="B76" s="132"/>
      <c r="C76" s="9" t="s">
        <v>7</v>
      </c>
      <c r="D76" s="63">
        <f>IF(ISBLANK(HLOOKUP(D4,'G&amp;A bed occ.'!AM290:AZ291,2,FALSE)),"",HLOOKUP(D4,'G&amp;A bed occ.'!AM290:AZ291,2,FALSE))</f>
        <v>103</v>
      </c>
      <c r="E76" s="63">
        <f>IF(ISBLANK(HLOOKUP(E4,'G&amp;A bed occ.'!AN290:BA291,2,FALSE)),"",HLOOKUP(E4,'G&amp;A bed occ.'!AN290:BA291,2,FALSE))</f>
        <v>106</v>
      </c>
      <c r="F76" s="63">
        <f>IF(ISBLANK(HLOOKUP(F4,'G&amp;A bed occ.'!AO290:BB291,2,FALSE)),"",HLOOKUP(F4,'G&amp;A bed occ.'!AO290:BB291,2,FALSE))</f>
        <v>103</v>
      </c>
      <c r="G76" s="63">
        <f>IF(ISBLANK(HLOOKUP(G4,'G&amp;A bed occ.'!AP290:BC291,2,FALSE)),"",HLOOKUP(G4,'G&amp;A bed occ.'!AP290:BC291,2,FALSE))</f>
        <v>80</v>
      </c>
      <c r="H76" s="63">
        <f>IF(ISBLANK(HLOOKUP(H4,'G&amp;A bed occ.'!AQ290:BD291,2,FALSE)),"",HLOOKUP(H4,'G&amp;A bed occ.'!AQ290:BD291,2,FALSE))</f>
        <v>99</v>
      </c>
      <c r="I76" s="63">
        <f>IF(ISBLANK(HLOOKUP(I4,'G&amp;A bed occ.'!AR290:BE291,2,FALSE)),"",HLOOKUP(I4,'G&amp;A bed occ.'!AR290:BE291,2,FALSE))</f>
        <v>111</v>
      </c>
      <c r="J76" s="63">
        <f>IF(ISBLANK(HLOOKUP(J4,'G&amp;A bed occ.'!AS290:BF291,2,FALSE)),"",HLOOKUP(J4,'G&amp;A bed occ.'!AS290:BF291,2,FALSE))</f>
        <v>109</v>
      </c>
      <c r="K76" s="63">
        <f>IF(ISBLANK(HLOOKUP(K4,'G&amp;A bed occ.'!AT290:BG291,2,FALSE)),"",HLOOKUP(K4,'G&amp;A bed occ.'!AT290:BG291,2,FALSE))</f>
        <v>94</v>
      </c>
      <c r="L76" s="63">
        <f>IF(ISBLANK(HLOOKUP(L4,'G&amp;A bed occ.'!AU290:BH291,2,FALSE)),"",HLOOKUP(L4,'G&amp;A bed occ.'!AU290:BH291,2,FALSE))</f>
        <v>103</v>
      </c>
      <c r="M76" s="63">
        <f>IF(ISBLANK(HLOOKUP(M4,'G&amp;A bed occ.'!AV290:BI291,2,FALSE)),"",HLOOKUP(M4,'G&amp;A bed occ.'!AV290:BI291,2,FALSE))</f>
        <v>98</v>
      </c>
      <c r="N76" s="63">
        <f>IF(ISBLANK(HLOOKUP(N4,'G&amp;A bed occ.'!AW290:BJ291,2,FALSE)),"",HLOOKUP(N4,'G&amp;A bed occ.'!AW290:BJ291,2,FALSE))</f>
        <v>97</v>
      </c>
      <c r="O76" s="63">
        <f>IF(ISBLANK(HLOOKUP(O4,'G&amp;A bed occ.'!AX290:BK291,2,FALSE)),"",HLOOKUP(O4,'G&amp;A bed occ.'!AX290:BK291,2,FALSE))</f>
        <v>92</v>
      </c>
      <c r="P76" s="63">
        <f>IF(ISBLANK(HLOOKUP(P4,'G&amp;A bed occ.'!AY290:BL291,2,FALSE)),"",HLOOKUP(P4,'G&amp;A bed occ.'!AY290:BL291,2,FALSE))</f>
        <v>94</v>
      </c>
      <c r="Q76" s="85"/>
      <c r="Z76" s="130"/>
      <c r="AA76" s="130"/>
      <c r="AB76" s="130"/>
      <c r="AC76" s="130"/>
    </row>
    <row r="77" spans="2:29" ht="7.5" customHeight="1" x14ac:dyDescent="0.25">
      <c r="B77" s="132"/>
      <c r="C77" s="9"/>
      <c r="Q77" s="84"/>
      <c r="Z77" s="130"/>
      <c r="AA77" s="130"/>
      <c r="AB77" s="130"/>
      <c r="AC77" s="130"/>
    </row>
    <row r="78" spans="2:29" ht="15" customHeight="1" x14ac:dyDescent="0.25">
      <c r="B78" s="132"/>
      <c r="C78" s="9" t="s">
        <v>5</v>
      </c>
      <c r="D78" s="63">
        <f>IF(ISBLANK(HLOOKUP(D4,'G&amp;A bed occ.'!AM431:AZ432,2,FALSE)),"",HLOOKUP(D4,'G&amp;A bed occ.'!AM431:AZ432,2,FALSE))</f>
        <v>16</v>
      </c>
      <c r="E78" s="63">
        <f>IF(ISBLANK(HLOOKUP(E4,'G&amp;A bed occ.'!AN431:BA432,2,FALSE)),"",HLOOKUP(E4,'G&amp;A bed occ.'!AN431:BA432,2,FALSE))</f>
        <v>16</v>
      </c>
      <c r="F78" s="63">
        <f>IF(ISBLANK(HLOOKUP(F4,'G&amp;A bed occ.'!AO431:BB432,2,FALSE)),"",HLOOKUP(F4,'G&amp;A bed occ.'!AO431:BB432,2,FALSE))</f>
        <v>15</v>
      </c>
      <c r="G78" s="63">
        <f>IF(ISBLANK(HLOOKUP(G4,'G&amp;A bed occ.'!AP431:BC432,2,FALSE)),"",HLOOKUP(G4,'G&amp;A bed occ.'!AP431:BC432,2,FALSE))</f>
        <v>9</v>
      </c>
      <c r="H78" s="63">
        <f>IF(ISBLANK(HLOOKUP(H4,'G&amp;A bed occ.'!AQ431:BD432,2,FALSE)),"",HLOOKUP(H4,'G&amp;A bed occ.'!AQ431:BD432,2,FALSE))</f>
        <v>16</v>
      </c>
      <c r="I78" s="63">
        <f>IF(ISBLANK(HLOOKUP(I4,'G&amp;A bed occ.'!AR431:BE432,2,FALSE)),"",HLOOKUP(I4,'G&amp;A bed occ.'!AR431:BE432,2,FALSE))</f>
        <v>14</v>
      </c>
      <c r="J78" s="63">
        <f>IF(ISBLANK(HLOOKUP(J4,'G&amp;A bed occ.'!AS431:BF432,2,FALSE)),"",HLOOKUP(J4,'G&amp;A bed occ.'!AS431:BF432,2,FALSE))</f>
        <v>14</v>
      </c>
      <c r="K78" s="63">
        <f>IF(ISBLANK(HLOOKUP(K4,'G&amp;A bed occ.'!AT431:BG432,2,FALSE)),"",HLOOKUP(K4,'G&amp;A bed occ.'!AT431:BG432,2,FALSE))</f>
        <v>10</v>
      </c>
      <c r="L78" s="63">
        <f>IF(ISBLANK(HLOOKUP(L4,'G&amp;A bed occ.'!AU431:BH432,2,FALSE)),"",HLOOKUP(L4,'G&amp;A bed occ.'!AU431:BH432,2,FALSE))</f>
        <v>13</v>
      </c>
      <c r="M78" s="63">
        <f>IF(ISBLANK(HLOOKUP(M4,'G&amp;A bed occ.'!AV431:BI432,2,FALSE)),"",HLOOKUP(M4,'G&amp;A bed occ.'!AV431:BI432,2,FALSE))</f>
        <v>10</v>
      </c>
      <c r="N78" s="63">
        <f>IF(ISBLANK(HLOOKUP(N4,'G&amp;A bed occ.'!AW431:BJ432,2,FALSE)),"",HLOOKUP(N4,'G&amp;A bed occ.'!AW431:BJ432,2,FALSE))</f>
        <v>11</v>
      </c>
      <c r="O78" s="63">
        <f>IF(ISBLANK(HLOOKUP(O4,'G&amp;A bed occ.'!AX431:BK432,2,FALSE)),"",HLOOKUP(O4,'G&amp;A bed occ.'!AX431:BK432,2,FALSE))</f>
        <v>11</v>
      </c>
      <c r="P78" s="63">
        <f>IF(ISBLANK(HLOOKUP(P4,'G&amp;A bed occ.'!AY431:BL432,2,FALSE)),"",HLOOKUP(P4,'G&amp;A bed occ.'!AY431:BL432,2,FALSE))</f>
        <v>9</v>
      </c>
      <c r="Q78" s="85"/>
      <c r="Z78" s="130"/>
      <c r="AA78" s="130"/>
      <c r="AB78" s="130"/>
      <c r="AC78" s="130"/>
    </row>
    <row r="79" spans="2:29" ht="30" customHeight="1" x14ac:dyDescent="0.25">
      <c r="C79" s="1"/>
    </row>
    <row r="80" spans="2:29" ht="15" customHeight="1" x14ac:dyDescent="0.25">
      <c r="B80" s="132" t="s">
        <v>8</v>
      </c>
      <c r="C80" s="40" t="s">
        <v>9</v>
      </c>
      <c r="D80" s="128">
        <v>42999</v>
      </c>
      <c r="E80" s="128">
        <v>43570.142857142855</v>
      </c>
      <c r="F80" s="128">
        <v>40411</v>
      </c>
      <c r="G80" s="128">
        <v>43553.142857142855</v>
      </c>
      <c r="H80" s="128">
        <v>46221</v>
      </c>
      <c r="I80" s="128">
        <v>45788</v>
      </c>
      <c r="J80" s="128">
        <v>45820.142857142855</v>
      </c>
      <c r="K80" s="128">
        <v>45732.142857142855</v>
      </c>
      <c r="L80" s="128">
        <v>45634.428571428572</v>
      </c>
      <c r="M80" s="128">
        <v>45175.142857142855</v>
      </c>
      <c r="N80" s="128">
        <v>45500.714285714283</v>
      </c>
      <c r="O80" s="128">
        <v>45469.285714285717</v>
      </c>
      <c r="P80" s="128">
        <v>46331</v>
      </c>
      <c r="Z80" s="133" t="s">
        <v>266</v>
      </c>
      <c r="AA80" s="133"/>
      <c r="AB80" s="133"/>
      <c r="AC80" s="133"/>
    </row>
    <row r="81" spans="2:29" x14ac:dyDescent="0.25">
      <c r="B81" s="132"/>
      <c r="C81" s="1" t="s">
        <v>234</v>
      </c>
      <c r="D81" s="14">
        <v>40658.428571428572</v>
      </c>
      <c r="E81" s="14">
        <v>40129.428571428572</v>
      </c>
      <c r="F81" s="14">
        <v>37680.571428571428</v>
      </c>
      <c r="G81" s="14">
        <v>38508.714285714283</v>
      </c>
      <c r="H81" s="14">
        <v>41687</v>
      </c>
      <c r="I81" s="14">
        <v>42190.571428571428</v>
      </c>
      <c r="J81" s="14">
        <v>42338.428571428572</v>
      </c>
      <c r="K81" s="14">
        <v>42406</v>
      </c>
      <c r="L81" s="14">
        <v>42625.285714285717</v>
      </c>
      <c r="M81" s="14">
        <v>42515.571428571428</v>
      </c>
      <c r="N81" s="14">
        <v>42977.714285714283</v>
      </c>
      <c r="O81" s="14">
        <v>42593</v>
      </c>
      <c r="P81" s="14">
        <v>42292.857142857145</v>
      </c>
      <c r="Z81" s="133"/>
      <c r="AA81" s="133"/>
      <c r="AB81" s="133"/>
      <c r="AC81" s="133"/>
    </row>
    <row r="82" spans="2:29" ht="7.5" customHeight="1" x14ac:dyDescent="0.25">
      <c r="B82" s="132"/>
      <c r="C82" s="40"/>
      <c r="Z82" s="133"/>
      <c r="AA82" s="133"/>
      <c r="AB82" s="133"/>
      <c r="AC82" s="133"/>
    </row>
    <row r="83" spans="2:29" x14ac:dyDescent="0.25">
      <c r="B83" s="132"/>
      <c r="C83" s="16" t="s">
        <v>268</v>
      </c>
      <c r="D83" s="61">
        <f>IFERROR(VLOOKUP(D$4,'Long stay'!$L$4:$T$17,2,FALSE),"")</f>
        <v>42353.857142857145</v>
      </c>
      <c r="E83" s="113">
        <f>IFERROR(VLOOKUP(E$4,'Long stay'!$L$4:$T$17,2,FALSE),"")</f>
        <v>42015</v>
      </c>
      <c r="F83" s="113">
        <f>IFERROR(VLOOKUP(F$4,'Long stay'!$L$4:$T$17,2,FALSE),"")</f>
        <v>41386.571428571428</v>
      </c>
      <c r="G83" s="113">
        <f>IFERROR(VLOOKUP(G$4,'Long stay'!$L$4:$T$17,2,FALSE),"")</f>
        <v>40775.571428571428</v>
      </c>
      <c r="H83" s="113">
        <f>IFERROR(VLOOKUP(H$4,'Long stay'!$L$4:$T$17,2,FALSE),"")</f>
        <v>44293.857142857145</v>
      </c>
      <c r="I83" s="113">
        <f>IFERROR(VLOOKUP(I$4,'Long stay'!$L$4:$T$17,2,FALSE),"")</f>
        <v>44755.714285714283</v>
      </c>
      <c r="J83" s="113">
        <f>IFERROR(VLOOKUP(J$4,'Long stay'!$L$4:$T$17,2,FALSE),"")</f>
        <v>44463.285714285717</v>
      </c>
      <c r="K83" s="113">
        <f>IFERROR(VLOOKUP(K$4,'Long stay'!$L$4:$T$17,2,FALSE),"")</f>
        <v>44319</v>
      </c>
      <c r="L83" s="113">
        <f>IFERROR(VLOOKUP(L$4,'Long stay'!$L$4:$T$17,2,FALSE),"")</f>
        <v>43811.857142857145</v>
      </c>
      <c r="M83" s="113">
        <f>IFERROR(VLOOKUP(M$4,'Long stay'!$L$4:$T$17,2,FALSE),"")</f>
        <v>43662.714285714283</v>
      </c>
      <c r="N83" s="113">
        <f>IFERROR(VLOOKUP(N$4,'Long stay'!$L$4:$T$17,2,FALSE),"")</f>
        <v>43538</v>
      </c>
      <c r="O83" s="113">
        <f>IFERROR(VLOOKUP(O$4,'Long stay'!$L$4:$T$17,2,FALSE),"")</f>
        <v>43416.714285714283</v>
      </c>
      <c r="P83" s="113">
        <f>IFERROR(VLOOKUP(P$4,'Long stay'!$L$4:$T$17,2,FALSE),"")</f>
        <v>43146.571428571428</v>
      </c>
      <c r="Q83" s="79" t="str">
        <f>IFERROR(VLOOKUP(Q$4,'Long stay'!$L$4:$S$18,2,FALSE),"")</f>
        <v/>
      </c>
      <c r="Z83" s="133"/>
      <c r="AA83" s="133"/>
      <c r="AB83" s="133"/>
      <c r="AC83" s="133"/>
    </row>
    <row r="84" spans="2:29" x14ac:dyDescent="0.25">
      <c r="B84" s="132"/>
      <c r="C84" s="1" t="s">
        <v>1</v>
      </c>
      <c r="D84" s="107">
        <f>IFERROR(VLOOKUP(D$4,'Long stay'!$L$4:$T$17,3,FALSE),"")</f>
        <v>6151</v>
      </c>
      <c r="E84" s="107">
        <f>IFERROR(VLOOKUP(E$4,'Long stay'!$L$4:$T$17,3,FALSE),"")</f>
        <v>6055.8571428571431</v>
      </c>
      <c r="F84" s="107">
        <f>IFERROR(VLOOKUP(F$4,'Long stay'!$L$4:$T$17,3,FALSE),"")</f>
        <v>6040.8571428571431</v>
      </c>
      <c r="G84" s="107">
        <f>IFERROR(VLOOKUP(G$4,'Long stay'!$L$4:$T$17,3,FALSE),"")</f>
        <v>5957</v>
      </c>
      <c r="H84" s="107">
        <f>IFERROR(VLOOKUP(H$4,'Long stay'!$L$4:$T$17,3,FALSE),"")</f>
        <v>6375.7142857142853</v>
      </c>
      <c r="I84" s="107">
        <f>IFERROR(VLOOKUP(I$4,'Long stay'!$L$4:$T$17,3,FALSE),"")</f>
        <v>6432.5714285714284</v>
      </c>
      <c r="J84" s="107">
        <f>IFERROR(VLOOKUP(J$4,'Long stay'!$L$4:$T$17,3,FALSE),"")</f>
        <v>6446.5714285714284</v>
      </c>
      <c r="K84" s="107">
        <f>IFERROR(VLOOKUP(K$4,'Long stay'!$L$4:$T$17,3,FALSE),"")</f>
        <v>6367</v>
      </c>
      <c r="L84" s="107">
        <f>IFERROR(VLOOKUP(L$4,'Long stay'!$L$4:$T$17,3,FALSE),"")</f>
        <v>6360.4285714285716</v>
      </c>
      <c r="M84" s="107">
        <f>IFERROR(VLOOKUP(M$4,'Long stay'!$L$4:$T$17,3,FALSE),"")</f>
        <v>6304.5714285714284</v>
      </c>
      <c r="N84" s="107">
        <f>IFERROR(VLOOKUP(N$4,'Long stay'!$L$4:$T$17,3,FALSE),"")</f>
        <v>6327.2857142857147</v>
      </c>
      <c r="O84" s="107">
        <f>IFERROR(VLOOKUP(O$4,'Long stay'!$L$4:$T$17,3,FALSE),"")</f>
        <v>6228.5714285714284</v>
      </c>
      <c r="P84" s="107">
        <f>IFERROR(VLOOKUP(P$4,'Long stay'!$L$4:$T$17,3,FALSE),"")</f>
        <v>5930</v>
      </c>
      <c r="Q84" s="80" t="str">
        <f>IFERROR(VLOOKUP(Q$4,'Long stay'!$L$4:$S$18,3,FALSE),"")</f>
        <v/>
      </c>
      <c r="Z84" s="133"/>
      <c r="AA84" s="133"/>
      <c r="AB84" s="133"/>
      <c r="AC84" s="133"/>
    </row>
    <row r="85" spans="2:29" ht="15" customHeight="1" x14ac:dyDescent="0.25">
      <c r="B85" s="132"/>
      <c r="C85" s="1" t="s">
        <v>241</v>
      </c>
      <c r="D85" s="107">
        <f>IFERROR(VLOOKUP(D$4,'Long stay'!$L$4:$T$17,4,FALSE),"")</f>
        <v>7964.5714285714284</v>
      </c>
      <c r="E85" s="107">
        <f>IFERROR(VLOOKUP(E$4,'Long stay'!$L$4:$T$17,4,FALSE),"")</f>
        <v>7779.4285714285716</v>
      </c>
      <c r="F85" s="107">
        <f>IFERROR(VLOOKUP(F$4,'Long stay'!$L$4:$T$17,4,FALSE),"")</f>
        <v>7693.2857142857147</v>
      </c>
      <c r="G85" s="107">
        <f>IFERROR(VLOOKUP(G$4,'Long stay'!$L$4:$T$17,4,FALSE),"")</f>
        <v>7714</v>
      </c>
      <c r="H85" s="107">
        <f>IFERROR(VLOOKUP(H$4,'Long stay'!$L$4:$T$17,4,FALSE),"")</f>
        <v>8234</v>
      </c>
      <c r="I85" s="107">
        <f>IFERROR(VLOOKUP(I$4,'Long stay'!$L$4:$T$17,4,FALSE),"")</f>
        <v>8513.7142857142862</v>
      </c>
      <c r="J85" s="107">
        <f>IFERROR(VLOOKUP(J$4,'Long stay'!$L$4:$T$17,4,FALSE),"")</f>
        <v>8335.2857142857138</v>
      </c>
      <c r="K85" s="107">
        <f>IFERROR(VLOOKUP(K$4,'Long stay'!$L$4:$T$17,4,FALSE),"")</f>
        <v>8233.2857142857138</v>
      </c>
      <c r="L85" s="107">
        <f>IFERROR(VLOOKUP(L$4,'Long stay'!$L$4:$T$17,4,FALSE),"")</f>
        <v>7999.7142857142853</v>
      </c>
      <c r="M85" s="107">
        <f>IFERROR(VLOOKUP(M$4,'Long stay'!$L$4:$T$17,4,FALSE),"")</f>
        <v>8230.7142857142862</v>
      </c>
      <c r="N85" s="107">
        <f>IFERROR(VLOOKUP(N$4,'Long stay'!$L$4:$T$17,4,FALSE),"")</f>
        <v>8159</v>
      </c>
      <c r="O85" s="107">
        <f>IFERROR(VLOOKUP(O$4,'Long stay'!$L$4:$T$17,4,FALSE),"")</f>
        <v>8124.8571428571431</v>
      </c>
      <c r="P85" s="107">
        <f>IFERROR(VLOOKUP(P$4,'Long stay'!$L$4:$T$17,4,FALSE),"")</f>
        <v>8197.7142857142862</v>
      </c>
      <c r="Q85" s="80" t="str">
        <f>IFERROR(VLOOKUP(Q$4,'Long stay'!$L$4:$S$18,4,FALSE),"")</f>
        <v/>
      </c>
      <c r="Z85" s="130" t="s">
        <v>265</v>
      </c>
      <c r="AA85" s="130"/>
      <c r="AB85" s="130"/>
      <c r="AC85" s="130"/>
    </row>
    <row r="86" spans="2:29" ht="15" customHeight="1" x14ac:dyDescent="0.25">
      <c r="B86" s="132"/>
      <c r="C86" s="1" t="s">
        <v>281</v>
      </c>
      <c r="D86" s="107">
        <f>IFERROR(VLOOKUP(D$4,'Long stay'!$L$4:$T$17,8,FALSE),"")</f>
        <v>4144.7142857142853</v>
      </c>
      <c r="E86" s="107">
        <f>IFERROR(VLOOKUP(E$4,'Long stay'!$L$4:$T$17,8,FALSE),"")</f>
        <v>4158.2857142857147</v>
      </c>
      <c r="F86" s="107">
        <f>IFERROR(VLOOKUP(F$4,'Long stay'!$L$4:$T$17,8,FALSE),"")</f>
        <v>4104.8571428571431</v>
      </c>
      <c r="G86" s="107">
        <f>IFERROR(VLOOKUP(G$4,'Long stay'!$L$4:$T$17,8,FALSE),"")</f>
        <v>4004</v>
      </c>
      <c r="H86" s="107">
        <f>IFERROR(VLOOKUP(H$4,'Long stay'!$L$4:$T$17,8,FALSE),"")</f>
        <v>4387.2857142857147</v>
      </c>
      <c r="I86" s="107">
        <f>IFERROR(VLOOKUP(I$4,'Long stay'!$L$4:$T$17,8,FALSE),"")</f>
        <v>4428.4285714285716</v>
      </c>
      <c r="J86" s="107">
        <f>IFERROR(VLOOKUP(J$4,'Long stay'!$L$4:$T$17,8,FALSE),"")</f>
        <v>4436.4285714285716</v>
      </c>
      <c r="K86" s="107">
        <f>IFERROR(VLOOKUP(K$4,'Long stay'!$L$4:$T$17,8,FALSE),"")</f>
        <v>4482.1428571428569</v>
      </c>
      <c r="L86" s="107">
        <f>IFERROR(VLOOKUP(L$4,'Long stay'!$L$4:$T$17,8,FALSE),"")</f>
        <v>4394</v>
      </c>
      <c r="M86" s="107">
        <f>IFERROR(VLOOKUP(M$4,'Long stay'!$L$4:$T$17,8,FALSE),"")</f>
        <v>4420</v>
      </c>
      <c r="N86" s="107">
        <f>IFERROR(VLOOKUP(N$4,'Long stay'!$L$4:$T$17,8,FALSE),"")</f>
        <v>4373.4285714285716</v>
      </c>
      <c r="O86" s="107">
        <f>IFERROR(VLOOKUP(O$4,'Long stay'!$L$4:$T$17,8,FALSE),"")</f>
        <v>4418.4285714285716</v>
      </c>
      <c r="P86" s="107">
        <f>IFERROR(VLOOKUP(P$4,'Long stay'!$L$4:$T$17,8,FALSE),"")</f>
        <v>4428.5714285714284</v>
      </c>
      <c r="Q86" s="80"/>
      <c r="Z86" s="130"/>
      <c r="AA86" s="130"/>
      <c r="AB86" s="130"/>
      <c r="AC86" s="130"/>
    </row>
    <row r="87" spans="2:29" ht="15" customHeight="1" x14ac:dyDescent="0.25">
      <c r="B87" s="132"/>
      <c r="C87" s="1" t="s">
        <v>282</v>
      </c>
      <c r="D87" s="107">
        <f>IFERROR(VLOOKUP(D$4,'Long stay'!$L$4:$T$17,5,FALSE),"")</f>
        <v>7325.5714285714284</v>
      </c>
      <c r="E87" s="107">
        <f>IFERROR(VLOOKUP(E$4,'Long stay'!$L$4:$T$17,5,FALSE),"")</f>
        <v>7399.5714285714284</v>
      </c>
      <c r="F87" s="107">
        <f>IFERROR(VLOOKUP(F$4,'Long stay'!$L$4:$T$17,5,FALSE),"")</f>
        <v>7226.2857142857147</v>
      </c>
      <c r="G87" s="107">
        <f>IFERROR(VLOOKUP(G$4,'Long stay'!$L$4:$T$17,5,FALSE),"")</f>
        <v>7000.4285714285716</v>
      </c>
      <c r="H87" s="107">
        <f>IFERROR(VLOOKUP(H$4,'Long stay'!$L$4:$T$17,5,FALSE),"")</f>
        <v>7639</v>
      </c>
      <c r="I87" s="107">
        <f>IFERROR(VLOOKUP(I$4,'Long stay'!$L$4:$T$17,5,FALSE),"")</f>
        <v>7762.4285714285716</v>
      </c>
      <c r="J87" s="107">
        <f>IFERROR(VLOOKUP(J$4,'Long stay'!$L$4:$T$17,5,FALSE),"")</f>
        <v>7802.4285714285716</v>
      </c>
      <c r="K87" s="107">
        <f>IFERROR(VLOOKUP(K$4,'Long stay'!$L$4:$T$17,5,FALSE),"")</f>
        <v>7695</v>
      </c>
      <c r="L87" s="107">
        <f>IFERROR(VLOOKUP(L$4,'Long stay'!$L$4:$T$17,5,FALSE),"")</f>
        <v>7588.2857142857147</v>
      </c>
      <c r="M87" s="107">
        <f>IFERROR(VLOOKUP(M$4,'Long stay'!$L$4:$T$17,5,FALSE),"")</f>
        <v>7518</v>
      </c>
      <c r="N87" s="107">
        <f>IFERROR(VLOOKUP(N$4,'Long stay'!$L$4:$T$17,5,FALSE),"")</f>
        <v>7368</v>
      </c>
      <c r="O87" s="107">
        <f>IFERROR(VLOOKUP(O$4,'Long stay'!$L$4:$T$17,5,FALSE),"")</f>
        <v>7464.5714285714284</v>
      </c>
      <c r="P87" s="107">
        <f>IFERROR(VLOOKUP(P$4,'Long stay'!$L$4:$T$17,5,FALSE),"")</f>
        <v>7376.5714285714284</v>
      </c>
      <c r="Q87" s="80"/>
      <c r="Z87" s="130"/>
      <c r="AA87" s="130"/>
      <c r="AB87" s="130"/>
      <c r="AC87" s="130"/>
    </row>
    <row r="88" spans="2:29" x14ac:dyDescent="0.25">
      <c r="B88" s="132"/>
      <c r="C88" s="1" t="s">
        <v>284</v>
      </c>
      <c r="D88" s="107">
        <f>IFERROR(VLOOKUP(D$4,'Long stay'!$L$4:$T$17,9,FALSE),"")</f>
        <v>6785.1428571428569</v>
      </c>
      <c r="E88" s="107">
        <f>IFERROR(VLOOKUP(E$4,'Long stay'!$L$4:$T$17,9,FALSE),"")</f>
        <v>6728</v>
      </c>
      <c r="F88" s="107">
        <f>IFERROR(VLOOKUP(F$4,'Long stay'!$L$4:$T$17,9,FALSE),"")</f>
        <v>6593.4285714285716</v>
      </c>
      <c r="G88" s="107">
        <f>IFERROR(VLOOKUP(G$4,'Long stay'!$L$4:$T$17,9,FALSE),"")</f>
        <v>6473.2857142857147</v>
      </c>
      <c r="H88" s="107">
        <f>IFERROR(VLOOKUP(H$4,'Long stay'!$L$4:$T$17,9,FALSE),"")</f>
        <v>7102</v>
      </c>
      <c r="I88" s="107">
        <f>IFERROR(VLOOKUP(I$4,'Long stay'!$L$4:$T$17,9,FALSE),"")</f>
        <v>7086</v>
      </c>
      <c r="J88" s="107">
        <f>IFERROR(VLOOKUP(J$4,'Long stay'!$L$4:$T$17,9,FALSE),"")</f>
        <v>6939.5714285714284</v>
      </c>
      <c r="K88" s="107">
        <f>IFERROR(VLOOKUP(K$4,'Long stay'!$L$4:$T$17,9,FALSE),"")</f>
        <v>7050</v>
      </c>
      <c r="L88" s="107">
        <f>IFERROR(VLOOKUP(L$4,'Long stay'!$L$4:$T$17,9,FALSE),"")</f>
        <v>6985.2857142857147</v>
      </c>
      <c r="M88" s="107">
        <f>IFERROR(VLOOKUP(M$4,'Long stay'!$L$4:$T$17,9,FALSE),"")</f>
        <v>6932.2857142857147</v>
      </c>
      <c r="N88" s="107">
        <f>IFERROR(VLOOKUP(N$4,'Long stay'!$L$4:$T$17,9,FALSE),"")</f>
        <v>6932.2857142857147</v>
      </c>
      <c r="O88" s="107">
        <f>IFERROR(VLOOKUP(O$4,'Long stay'!$L$4:$T$17,9,FALSE),"")</f>
        <v>6938.4285714285716</v>
      </c>
      <c r="P88" s="107">
        <f>IFERROR(VLOOKUP(P$4,'Long stay'!$L$4:$T$17,9,FALSE),"")</f>
        <v>6911.1428571428569</v>
      </c>
      <c r="Q88" s="80" t="str">
        <f>IFERROR(VLOOKUP(Q$4,'Long stay'!$L$4:$S$18,5,FALSE),"")</f>
        <v/>
      </c>
      <c r="Z88" s="130"/>
      <c r="AA88" s="130"/>
      <c r="AB88" s="130"/>
      <c r="AC88" s="130"/>
    </row>
    <row r="89" spans="2:29" ht="15" customHeight="1" x14ac:dyDescent="0.25">
      <c r="B89" s="132"/>
      <c r="C89" s="1" t="s">
        <v>238</v>
      </c>
      <c r="D89" s="107">
        <f>IFERROR(VLOOKUP(D$4,'Long stay'!$L$4:$T$17,6,FALSE),"")</f>
        <v>6294.1428571428569</v>
      </c>
      <c r="E89" s="107">
        <f>IFERROR(VLOOKUP(E$4,'Long stay'!$L$4:$T$17,6,FALSE),"")</f>
        <v>6231.2857142857147</v>
      </c>
      <c r="F89" s="107">
        <f>IFERROR(VLOOKUP(F$4,'Long stay'!$L$4:$T$17,6,FALSE),"")</f>
        <v>6158.7142857142853</v>
      </c>
      <c r="G89" s="107">
        <f>IFERROR(VLOOKUP(G$4,'Long stay'!$L$4:$T$17,6,FALSE),"")</f>
        <v>6062.8571428571431</v>
      </c>
      <c r="H89" s="107">
        <f>IFERROR(VLOOKUP(H$4,'Long stay'!$L$4:$T$17,6,FALSE),"")</f>
        <v>6632</v>
      </c>
      <c r="I89" s="107">
        <f>IFERROR(VLOOKUP(I$4,'Long stay'!$L$4:$T$17,6,FALSE),"")</f>
        <v>6614.2857142857147</v>
      </c>
      <c r="J89" s="107">
        <f>IFERROR(VLOOKUP(J$4,'Long stay'!$L$4:$T$17,6,FALSE),"")</f>
        <v>6595.2857142857147</v>
      </c>
      <c r="K89" s="107">
        <f>IFERROR(VLOOKUP(K$4,'Long stay'!$L$4:$T$17,6,FALSE),"")</f>
        <v>6578</v>
      </c>
      <c r="L89" s="107">
        <f>IFERROR(VLOOKUP(L$4,'Long stay'!$L$4:$T$17,6,FALSE),"")</f>
        <v>6577.1428571428569</v>
      </c>
      <c r="M89" s="107">
        <f>IFERROR(VLOOKUP(M$4,'Long stay'!$L$4:$T$17,6,FALSE),"")</f>
        <v>6354.2857142857147</v>
      </c>
      <c r="N89" s="107">
        <f>IFERROR(VLOOKUP(N$4,'Long stay'!$L$4:$T$17,6,FALSE),"")</f>
        <v>6478.5714285714284</v>
      </c>
      <c r="O89" s="107">
        <f>IFERROR(VLOOKUP(O$4,'Long stay'!$L$4:$T$17,6,FALSE),"")</f>
        <v>6356.4285714285716</v>
      </c>
      <c r="P89" s="107">
        <f>IFERROR(VLOOKUP(P$4,'Long stay'!$L$4:$T$17,6,FALSE),"")</f>
        <v>6458.7142857142853</v>
      </c>
      <c r="Q89" s="80" t="str">
        <f>IFERROR(VLOOKUP(Q$4,'Long stay'!$L$4:$S$18,6,FALSE),"")</f>
        <v/>
      </c>
      <c r="Z89" s="130"/>
      <c r="AA89" s="130"/>
      <c r="AB89" s="130"/>
      <c r="AC89" s="130"/>
    </row>
    <row r="90" spans="2:29" ht="15" customHeight="1" x14ac:dyDescent="0.25">
      <c r="B90" s="132"/>
      <c r="C90" s="11" t="s">
        <v>239</v>
      </c>
      <c r="D90" s="107">
        <f>IFERROR(VLOOKUP(D$4,'Long stay'!$L$4:$T$17,7,FALSE),"")</f>
        <v>3688.7142857142858</v>
      </c>
      <c r="E90" s="107">
        <f>IFERROR(VLOOKUP(E$4,'Long stay'!$L$4:$T$17,7,FALSE),"")</f>
        <v>3662.5714285714284</v>
      </c>
      <c r="F90" s="107">
        <f>IFERROR(VLOOKUP(F$4,'Long stay'!$L$4:$T$17,7,FALSE),"")</f>
        <v>3569.1428571428573</v>
      </c>
      <c r="G90" s="107">
        <f>IFERROR(VLOOKUP(G$4,'Long stay'!$L$4:$T$17,7,FALSE),"")</f>
        <v>3564</v>
      </c>
      <c r="H90" s="107">
        <f>IFERROR(VLOOKUP(H$4,'Long stay'!$L$4:$T$17,7,FALSE),"")</f>
        <v>3923.8571428571427</v>
      </c>
      <c r="I90" s="107">
        <f>IFERROR(VLOOKUP(I$4,'Long stay'!$L$4:$T$17,7,FALSE),"")</f>
        <v>3918.2857142857142</v>
      </c>
      <c r="J90" s="107">
        <f>IFERROR(VLOOKUP(J$4,'Long stay'!$L$4:$T$17,7,FALSE),"")</f>
        <v>3907.7142857142858</v>
      </c>
      <c r="K90" s="107">
        <f>IFERROR(VLOOKUP(K$4,'Long stay'!$L$4:$T$17,7,FALSE),"")</f>
        <v>3913.5714285714284</v>
      </c>
      <c r="L90" s="107">
        <f>IFERROR(VLOOKUP(L$4,'Long stay'!$L$4:$T$17,7,FALSE),"")</f>
        <v>3907</v>
      </c>
      <c r="M90" s="107">
        <f>IFERROR(VLOOKUP(M$4,'Long stay'!$L$4:$T$17,7,FALSE),"")</f>
        <v>3902.8571428571427</v>
      </c>
      <c r="N90" s="107">
        <f>IFERROR(VLOOKUP(N$4,'Long stay'!$L$4:$T$17,7,FALSE),"")</f>
        <v>3899.4285714285716</v>
      </c>
      <c r="O90" s="107">
        <f>IFERROR(VLOOKUP(O$4,'Long stay'!$L$4:$T$17,7,FALSE),"")</f>
        <v>3885.4285714285716</v>
      </c>
      <c r="P90" s="107">
        <f>IFERROR(VLOOKUP(P$4,'Long stay'!$L$4:$T$17,7,FALSE),"")</f>
        <v>3843.8571428571427</v>
      </c>
      <c r="Q90" s="80" t="str">
        <f>IFERROR(VLOOKUP(Q$4,'Long stay'!$L$4:$S$18,7,FALSE),"")</f>
        <v/>
      </c>
      <c r="Z90" s="130"/>
      <c r="AA90" s="130"/>
      <c r="AB90" s="130"/>
      <c r="AC90" s="130"/>
    </row>
    <row r="91" spans="2:29" ht="7.5" customHeight="1" x14ac:dyDescent="0.25">
      <c r="B91" s="132"/>
      <c r="Z91" s="130"/>
      <c r="AA91" s="130"/>
      <c r="AB91" s="130"/>
      <c r="AC91" s="130"/>
    </row>
    <row r="92" spans="2:29" ht="17.25" customHeight="1" x14ac:dyDescent="0.25">
      <c r="B92" s="132"/>
      <c r="C92" s="40" t="s">
        <v>244</v>
      </c>
      <c r="Z92" s="130"/>
      <c r="AA92" s="130"/>
      <c r="AB92" s="130"/>
      <c r="AC92" s="130"/>
    </row>
    <row r="93" spans="2:29" ht="14.25" customHeight="1" x14ac:dyDescent="0.25">
      <c r="B93" s="132"/>
      <c r="C93" s="1" t="s">
        <v>234</v>
      </c>
      <c r="D93" s="87">
        <v>23080.857142857141</v>
      </c>
      <c r="E93" s="87">
        <v>22984.142857142859</v>
      </c>
      <c r="F93" s="87">
        <v>21743.714285714286</v>
      </c>
      <c r="G93" s="87">
        <v>21803.714285714286</v>
      </c>
      <c r="H93" s="87">
        <v>24544.714285714286</v>
      </c>
      <c r="I93" s="87">
        <v>24498.142857142859</v>
      </c>
      <c r="J93" s="87">
        <v>24169.428571428572</v>
      </c>
      <c r="K93" s="87">
        <v>24466</v>
      </c>
      <c r="L93" s="87">
        <v>24489.428571428572</v>
      </c>
      <c r="M93" s="87">
        <v>24371.571428571428</v>
      </c>
      <c r="N93" s="87">
        <v>24538.857142857141</v>
      </c>
      <c r="O93" s="87">
        <v>24669.142857142859</v>
      </c>
      <c r="P93" s="87">
        <v>24758.285714285714</v>
      </c>
      <c r="Q93" s="86"/>
      <c r="Z93" s="130"/>
      <c r="AA93" s="130"/>
      <c r="AB93" s="130"/>
      <c r="AC93" s="130"/>
    </row>
    <row r="94" spans="2:29" ht="8.25" customHeight="1" x14ac:dyDescent="0.25">
      <c r="B94" s="132"/>
      <c r="C94" s="40"/>
      <c r="Q94" s="84"/>
      <c r="Z94" s="130"/>
      <c r="AA94" s="130"/>
      <c r="AB94" s="130"/>
      <c r="AC94" s="130"/>
    </row>
    <row r="95" spans="2:29" x14ac:dyDescent="0.25">
      <c r="B95" s="132"/>
      <c r="C95" s="16" t="s">
        <v>268</v>
      </c>
      <c r="D95" s="102">
        <f>IFERROR(VLOOKUP(D$4,'Long stay'!$BB$4:$BJ$17,2,FALSE),"")</f>
        <v>24440.428571428572</v>
      </c>
      <c r="E95" s="113">
        <f>IFERROR(VLOOKUP(E$4,'Long stay'!$BB$4:$BJ$17,2,FALSE),"")</f>
        <v>24255</v>
      </c>
      <c r="F95" s="113">
        <f>IFERROR(VLOOKUP(F$4,'Long stay'!$BB$4:$BJ$17,2,FALSE),"")</f>
        <v>23700.571428571428</v>
      </c>
      <c r="G95" s="113">
        <f>IFERROR(VLOOKUP(G$4,'Long stay'!$BB$4:$BJ$17,2,FALSE),"")</f>
        <v>23240.142857142859</v>
      </c>
      <c r="H95" s="113">
        <f>IFERROR(VLOOKUP(H$4,'Long stay'!$BB$4:$BJ$17,2,FALSE),"")</f>
        <v>26075.857142857141</v>
      </c>
      <c r="I95" s="113">
        <f>IFERROR(VLOOKUP(I$4,'Long stay'!$BB$4:$BJ$17,2,FALSE),"")</f>
        <v>26588.571428571428</v>
      </c>
      <c r="J95" s="113">
        <f>IFERROR(VLOOKUP(J$4,'Long stay'!$BB$4:$BJ$17,2,FALSE),"")</f>
        <v>25931.428571428572</v>
      </c>
      <c r="K95" s="113">
        <f>IFERROR(VLOOKUP(K$4,'Long stay'!$BB$4:$BJ$17,2,FALSE),"")</f>
        <v>26034.571428571428</v>
      </c>
      <c r="L95" s="113">
        <f>IFERROR(VLOOKUP(L$4,'Long stay'!$BB$4:$BJ$17,2,FALSE),"")</f>
        <v>25894.285714285714</v>
      </c>
      <c r="M95" s="113">
        <f>IFERROR(VLOOKUP(M$4,'Long stay'!$BB$4:$BJ$17,2,FALSE),"")</f>
        <v>25497</v>
      </c>
      <c r="N95" s="113">
        <f>IFERROR(VLOOKUP(N$4,'Long stay'!$BB$4:$BJ$17,2,FALSE),"")</f>
        <v>25639.714285714286</v>
      </c>
      <c r="O95" s="113">
        <f>IFERROR(VLOOKUP(O$4,'Long stay'!$BB$4:$BJ$17,2,FALSE),"")</f>
        <v>25406.142857142859</v>
      </c>
      <c r="P95" s="113">
        <f>IFERROR(VLOOKUP(P$4,'Long stay'!$BB$4:$BJ$17,2,FALSE),"")</f>
        <v>25337.428571428572</v>
      </c>
      <c r="Q95" s="79" t="str">
        <f>IFERROR(VLOOKUP(Q$4,'Long stay'!$AF$4:$AM$18,2,FALSE),"")</f>
        <v/>
      </c>
      <c r="Z95" s="130"/>
      <c r="AA95" s="130"/>
      <c r="AB95" s="130"/>
      <c r="AC95" s="130"/>
    </row>
    <row r="96" spans="2:29" x14ac:dyDescent="0.25">
      <c r="B96" s="132"/>
      <c r="C96" s="1" t="s">
        <v>1</v>
      </c>
      <c r="D96" s="107">
        <f>IFERROR(VLOOKUP(D$4,'Long stay'!$BB$4:$BJ$17,3,FALSE),"")</f>
        <v>3712</v>
      </c>
      <c r="E96" s="107">
        <f>IFERROR(VLOOKUP(E$4,'Long stay'!$BB$4:$BJ$17,3,FALSE),"")</f>
        <v>3651.8571428571427</v>
      </c>
      <c r="F96" s="107">
        <f>IFERROR(VLOOKUP(F$4,'Long stay'!$BB$4:$BJ$17,3,FALSE),"")</f>
        <v>3624.5714285714284</v>
      </c>
      <c r="G96" s="107">
        <f>IFERROR(VLOOKUP(G$4,'Long stay'!$BB$4:$BJ$17,3,FALSE),"")</f>
        <v>3530.5714285714284</v>
      </c>
      <c r="H96" s="107">
        <f>IFERROR(VLOOKUP(H$4,'Long stay'!$BB$4:$BJ$17,3,FALSE),"")</f>
        <v>3895.5714285714284</v>
      </c>
      <c r="I96" s="107">
        <f>IFERROR(VLOOKUP(I$4,'Long stay'!$BB$4:$BJ$17,3,FALSE),"")</f>
        <v>3947.7142857142858</v>
      </c>
      <c r="J96" s="107">
        <f>IFERROR(VLOOKUP(J$4,'Long stay'!$BB$4:$BJ$17,3,FALSE),"")</f>
        <v>3854.2857142857142</v>
      </c>
      <c r="K96" s="107">
        <f>IFERROR(VLOOKUP(K$4,'Long stay'!$BB$4:$BJ$17,3,FALSE),"")</f>
        <v>3821.8571428571427</v>
      </c>
      <c r="L96" s="107">
        <f>IFERROR(VLOOKUP(L$4,'Long stay'!$BB$4:$BJ$17,3,FALSE),"")</f>
        <v>3871.4285714285716</v>
      </c>
      <c r="M96" s="107">
        <f>IFERROR(VLOOKUP(M$4,'Long stay'!$BB$4:$BJ$17,3,FALSE),"")</f>
        <v>3749.4285714285716</v>
      </c>
      <c r="N96" s="107">
        <f>IFERROR(VLOOKUP(N$4,'Long stay'!$BB$4:$BJ$17,3,FALSE),"")</f>
        <v>3805.7142857142858</v>
      </c>
      <c r="O96" s="107">
        <f>IFERROR(VLOOKUP(O$4,'Long stay'!$BB$4:$BJ$17,3,FALSE),"")</f>
        <v>3752.7142857142858</v>
      </c>
      <c r="P96" s="107">
        <f>IFERROR(VLOOKUP(P$4,'Long stay'!$BB$4:$BJ$17,3,FALSE),"")</f>
        <v>3620.2857142857142</v>
      </c>
      <c r="Q96" s="80" t="str">
        <f>IFERROR(VLOOKUP(Q$4,'Long stay'!$AF$4:$AM$18,3,FALSE),"")</f>
        <v/>
      </c>
      <c r="Z96" s="130"/>
      <c r="AA96" s="130"/>
      <c r="AB96" s="130"/>
      <c r="AC96" s="130"/>
    </row>
    <row r="97" spans="2:29" x14ac:dyDescent="0.25">
      <c r="B97" s="132"/>
      <c r="C97" s="1" t="s">
        <v>241</v>
      </c>
      <c r="D97" s="107">
        <f>IFERROR(VLOOKUP(D$4,'Long stay'!$BB$4:$BJ$17,4,FALSE),"")</f>
        <v>4438</v>
      </c>
      <c r="E97" s="107">
        <f>IFERROR(VLOOKUP(E$4,'Long stay'!$BB$4:$BJ$17,4,FALSE),"")</f>
        <v>4351.1428571428569</v>
      </c>
      <c r="F97" s="107">
        <f>IFERROR(VLOOKUP(F$4,'Long stay'!$BB$4:$BJ$17,4,FALSE),"")</f>
        <v>4226.2857142857147</v>
      </c>
      <c r="G97" s="107">
        <f>IFERROR(VLOOKUP(G$4,'Long stay'!$BB$4:$BJ$17,4,FALSE),"")</f>
        <v>4163.2857142857147</v>
      </c>
      <c r="H97" s="107">
        <f>IFERROR(VLOOKUP(H$4,'Long stay'!$BB$4:$BJ$17,4,FALSE),"")</f>
        <v>4670</v>
      </c>
      <c r="I97" s="107">
        <f>IFERROR(VLOOKUP(I$4,'Long stay'!$BB$4:$BJ$17,4,FALSE),"")</f>
        <v>4855.4285714285716</v>
      </c>
      <c r="J97" s="107">
        <f>IFERROR(VLOOKUP(J$4,'Long stay'!$BB$4:$BJ$17,4,FALSE),"")</f>
        <v>4688.1428571428569</v>
      </c>
      <c r="K97" s="107">
        <f>IFERROR(VLOOKUP(K$4,'Long stay'!$BB$4:$BJ$17,4,FALSE),"")</f>
        <v>4618.8571428571431</v>
      </c>
      <c r="L97" s="107">
        <f>IFERROR(VLOOKUP(L$4,'Long stay'!$BB$4:$BJ$17,4,FALSE),"")</f>
        <v>4497.5714285714284</v>
      </c>
      <c r="M97" s="107">
        <f>IFERROR(VLOOKUP(M$4,'Long stay'!$BB$4:$BJ$17,4,FALSE),"")</f>
        <v>4602.1428571428569</v>
      </c>
      <c r="N97" s="107">
        <f>IFERROR(VLOOKUP(N$4,'Long stay'!$BB$4:$BJ$17,4,FALSE),"")</f>
        <v>4626.2857142857147</v>
      </c>
      <c r="O97" s="107">
        <f>IFERROR(VLOOKUP(O$4,'Long stay'!$BB$4:$BJ$17,4,FALSE),"")</f>
        <v>4586.4285714285716</v>
      </c>
      <c r="P97" s="107">
        <f>IFERROR(VLOOKUP(P$4,'Long stay'!$BB$4:$BJ$17,4,FALSE),"")</f>
        <v>4583.8571428571431</v>
      </c>
      <c r="Q97" s="80" t="str">
        <f>IFERROR(VLOOKUP(Q$4,'Long stay'!$AF$4:$AM$18,4,FALSE),"")</f>
        <v/>
      </c>
      <c r="Z97" s="130"/>
      <c r="AA97" s="130"/>
      <c r="AB97" s="130"/>
      <c r="AC97" s="130"/>
    </row>
    <row r="98" spans="2:29" x14ac:dyDescent="0.25">
      <c r="B98" s="132"/>
      <c r="C98" s="1" t="s">
        <v>281</v>
      </c>
      <c r="D98" s="107">
        <f>IFERROR(VLOOKUP(D$4,'Long stay'!$BB$4:$BJ$17,8,FALSE),"")</f>
        <v>2207.8571428571427</v>
      </c>
      <c r="E98" s="107">
        <f>IFERROR(VLOOKUP(E$4,'Long stay'!$BB$4:$BJ$17,8,FALSE),"")</f>
        <v>2207.5714285714284</v>
      </c>
      <c r="F98" s="107">
        <f>IFERROR(VLOOKUP(F$4,'Long stay'!$BB$4:$BJ$17,8,FALSE),"")</f>
        <v>2171.2857142857142</v>
      </c>
      <c r="G98" s="107">
        <f>IFERROR(VLOOKUP(G$4,'Long stay'!$BB$4:$BJ$17,8,FALSE),"")</f>
        <v>2136.7142857142858</v>
      </c>
      <c r="H98" s="107">
        <f>IFERROR(VLOOKUP(H$4,'Long stay'!$BB$4:$BJ$17,8,FALSE),"")</f>
        <v>2398.8571428571427</v>
      </c>
      <c r="I98" s="107">
        <f>IFERROR(VLOOKUP(I$4,'Long stay'!$BB$4:$BJ$17,8,FALSE),"")</f>
        <v>2441.1428571428573</v>
      </c>
      <c r="J98" s="107">
        <f>IFERROR(VLOOKUP(J$4,'Long stay'!$BB$4:$BJ$17,8,FALSE),"")</f>
        <v>2390</v>
      </c>
      <c r="K98" s="107">
        <f>IFERROR(VLOOKUP(K$4,'Long stay'!$BB$4:$BJ$17,8,FALSE),"")</f>
        <v>2449.1428571428573</v>
      </c>
      <c r="L98" s="107">
        <f>IFERROR(VLOOKUP(L$4,'Long stay'!$BB$4:$BJ$17,8,FALSE),"")</f>
        <v>2441.7142857142858</v>
      </c>
      <c r="M98" s="107">
        <f>IFERROR(VLOOKUP(M$4,'Long stay'!$BB$4:$BJ$17,8,FALSE),"")</f>
        <v>2443.8571428571427</v>
      </c>
      <c r="N98" s="107">
        <f>IFERROR(VLOOKUP(N$4,'Long stay'!$BB$4:$BJ$17,8,FALSE),"")</f>
        <v>2444.8571428571427</v>
      </c>
      <c r="O98" s="107">
        <f>IFERROR(VLOOKUP(O$4,'Long stay'!$BB$4:$BJ$17,8,FALSE),"")</f>
        <v>2431.8571428571427</v>
      </c>
      <c r="P98" s="107">
        <f>IFERROR(VLOOKUP(P$4,'Long stay'!$BB$4:$BJ$17,8,FALSE),"")</f>
        <v>2455.5714285714284</v>
      </c>
      <c r="Q98" s="80"/>
      <c r="Z98" s="130"/>
      <c r="AA98" s="130"/>
      <c r="AB98" s="130"/>
      <c r="AC98" s="130"/>
    </row>
    <row r="99" spans="2:29" x14ac:dyDescent="0.25">
      <c r="B99" s="132"/>
      <c r="C99" s="1" t="s">
        <v>282</v>
      </c>
      <c r="D99" s="107">
        <f>IFERROR(VLOOKUP(D$4,'Long stay'!$BB$4:$BJ$17,5,FALSE),"")</f>
        <v>4105.2857142857147</v>
      </c>
      <c r="E99" s="107">
        <f>IFERROR(VLOOKUP(E$4,'Long stay'!$BB$4:$BJ$17,5,FALSE),"")</f>
        <v>4143.1428571428569</v>
      </c>
      <c r="F99" s="107">
        <f>IFERROR(VLOOKUP(F$4,'Long stay'!$BB$4:$BJ$17,5,FALSE),"")</f>
        <v>4105.5714285714284</v>
      </c>
      <c r="G99" s="107">
        <f>IFERROR(VLOOKUP(G$4,'Long stay'!$BB$4:$BJ$17,5,FALSE),"")</f>
        <v>3924.1428571428573</v>
      </c>
      <c r="H99" s="107">
        <f>IFERROR(VLOOKUP(H$4,'Long stay'!$BB$4:$BJ$17,5,FALSE),"")</f>
        <v>4455.7142857142853</v>
      </c>
      <c r="I99" s="107">
        <f>IFERROR(VLOOKUP(I$4,'Long stay'!$BB$4:$BJ$17,5,FALSE),"")</f>
        <v>4506.4285714285716</v>
      </c>
      <c r="J99" s="107">
        <f>IFERROR(VLOOKUP(J$4,'Long stay'!$BB$4:$BJ$17,5,FALSE),"")</f>
        <v>4496.4285714285716</v>
      </c>
      <c r="K99" s="107">
        <f>IFERROR(VLOOKUP(K$4,'Long stay'!$BB$4:$BJ$17,5,FALSE),"")</f>
        <v>4497</v>
      </c>
      <c r="L99" s="107">
        <f>IFERROR(VLOOKUP(L$4,'Long stay'!$BB$4:$BJ$17,5,FALSE),"")</f>
        <v>4448.1428571428569</v>
      </c>
      <c r="M99" s="107">
        <f>IFERROR(VLOOKUP(M$4,'Long stay'!$BB$4:$BJ$17,5,FALSE),"")</f>
        <v>4310</v>
      </c>
      <c r="N99" s="107">
        <f>IFERROR(VLOOKUP(N$4,'Long stay'!$BB$4:$BJ$17,5,FALSE),"")</f>
        <v>4247</v>
      </c>
      <c r="O99" s="107">
        <f>IFERROR(VLOOKUP(O$4,'Long stay'!$BB$4:$BJ$17,5,FALSE),"")</f>
        <v>4201.1428571428569</v>
      </c>
      <c r="P99" s="107">
        <f>IFERROR(VLOOKUP(P$4,'Long stay'!$BB$4:$BJ$17,5,FALSE),"")</f>
        <v>4274.4285714285716</v>
      </c>
      <c r="Q99" s="80"/>
      <c r="Z99" s="130"/>
      <c r="AA99" s="130"/>
      <c r="AB99" s="130"/>
      <c r="AC99" s="130"/>
    </row>
    <row r="100" spans="2:29" x14ac:dyDescent="0.25">
      <c r="B100" s="132"/>
      <c r="C100" s="1" t="s">
        <v>284</v>
      </c>
      <c r="D100" s="107">
        <f>IFERROR(VLOOKUP(D$4,'Long stay'!$BB$4:$BJ$17,9,FALSE),"")</f>
        <v>4167</v>
      </c>
      <c r="E100" s="107">
        <f>IFERROR(VLOOKUP(E$4,'Long stay'!$BB$4:$BJ$17,9,FALSE),"")</f>
        <v>4147.7142857142853</v>
      </c>
      <c r="F100" s="107">
        <f>IFERROR(VLOOKUP(F$4,'Long stay'!$BB$4:$BJ$17,9,FALSE),"")</f>
        <v>4000.2857142857142</v>
      </c>
      <c r="G100" s="107">
        <f>IFERROR(VLOOKUP(G$4,'Long stay'!$BB$4:$BJ$17,9,FALSE),"")</f>
        <v>3955.7142857142858</v>
      </c>
      <c r="H100" s="107">
        <f>IFERROR(VLOOKUP(H$4,'Long stay'!$BB$4:$BJ$17,9,FALSE),"")</f>
        <v>4405</v>
      </c>
      <c r="I100" s="107">
        <f>IFERROR(VLOOKUP(I$4,'Long stay'!$BB$4:$BJ$17,9,FALSE),"")</f>
        <v>4538.1428571428569</v>
      </c>
      <c r="J100" s="107">
        <f>IFERROR(VLOOKUP(J$4,'Long stay'!$BB$4:$BJ$17,9,FALSE),"")</f>
        <v>4338.5714285714284</v>
      </c>
      <c r="K100" s="107">
        <f>IFERROR(VLOOKUP(K$4,'Long stay'!$BB$4:$BJ$17,9,FALSE),"")</f>
        <v>4408.2857142857147</v>
      </c>
      <c r="L100" s="107">
        <f>IFERROR(VLOOKUP(L$4,'Long stay'!$BB$4:$BJ$17,9,FALSE),"")</f>
        <v>4408.4285714285716</v>
      </c>
      <c r="M100" s="107">
        <f>IFERROR(VLOOKUP(M$4,'Long stay'!$BB$4:$BJ$17,9,FALSE),"")</f>
        <v>4355.7142857142853</v>
      </c>
      <c r="N100" s="107">
        <f>IFERROR(VLOOKUP(N$4,'Long stay'!$BB$4:$BJ$17,9,FALSE),"")</f>
        <v>4440.8571428571431</v>
      </c>
      <c r="O100" s="107">
        <f>IFERROR(VLOOKUP(O$4,'Long stay'!$BB$4:$BJ$17,9,FALSE),"")</f>
        <v>4373.7142857142853</v>
      </c>
      <c r="P100" s="107">
        <f>IFERROR(VLOOKUP(P$4,'Long stay'!$BB$4:$BJ$17,9,FALSE),"")</f>
        <v>4330</v>
      </c>
      <c r="Q100" s="80" t="str">
        <f>IFERROR(VLOOKUP(Q$4,'Long stay'!$AF$4:$AM$18,5,FALSE),"")</f>
        <v/>
      </c>
      <c r="Z100" s="130"/>
      <c r="AA100" s="130"/>
      <c r="AB100" s="130"/>
      <c r="AC100" s="130"/>
    </row>
    <row r="101" spans="2:29" x14ac:dyDescent="0.25">
      <c r="B101" s="132"/>
      <c r="C101" s="1" t="s">
        <v>238</v>
      </c>
      <c r="D101" s="107">
        <f>IFERROR(VLOOKUP(D$4,'Long stay'!$BB$4:$BJ$17,6,FALSE),"")</f>
        <v>3648</v>
      </c>
      <c r="E101" s="107">
        <f>IFERROR(VLOOKUP(E$4,'Long stay'!$BB$4:$BJ$17,6,FALSE),"")</f>
        <v>3608.4285714285716</v>
      </c>
      <c r="F101" s="107">
        <f>IFERROR(VLOOKUP(F$4,'Long stay'!$BB$4:$BJ$17,6,FALSE),"")</f>
        <v>3528.1428571428573</v>
      </c>
      <c r="G101" s="107">
        <f>IFERROR(VLOOKUP(G$4,'Long stay'!$BB$4:$BJ$17,6,FALSE),"")</f>
        <v>3500.4285714285716</v>
      </c>
      <c r="H101" s="107">
        <f>IFERROR(VLOOKUP(H$4,'Long stay'!$BB$4:$BJ$17,6,FALSE),"")</f>
        <v>3963</v>
      </c>
      <c r="I101" s="107">
        <f>IFERROR(VLOOKUP(I$4,'Long stay'!$BB$4:$BJ$17,6,FALSE),"")</f>
        <v>3972.1428571428573</v>
      </c>
      <c r="J101" s="107">
        <f>IFERROR(VLOOKUP(J$4,'Long stay'!$BB$4:$BJ$17,6,FALSE),"")</f>
        <v>3864</v>
      </c>
      <c r="K101" s="107">
        <f>IFERROR(VLOOKUP(K$4,'Long stay'!$BB$4:$BJ$17,6,FALSE),"")</f>
        <v>3891.2857142857142</v>
      </c>
      <c r="L101" s="107">
        <f>IFERROR(VLOOKUP(L$4,'Long stay'!$BB$4:$BJ$17,6,FALSE),"")</f>
        <v>3873.8571428571427</v>
      </c>
      <c r="M101" s="107">
        <f>IFERROR(VLOOKUP(M$4,'Long stay'!$BB$4:$BJ$17,6,FALSE),"")</f>
        <v>3726.5714285714284</v>
      </c>
      <c r="N101" s="107">
        <f>IFERROR(VLOOKUP(N$4,'Long stay'!$BB$4:$BJ$17,6,FALSE),"")</f>
        <v>3773.2857142857142</v>
      </c>
      <c r="O101" s="107">
        <f>IFERROR(VLOOKUP(O$4,'Long stay'!$BB$4:$BJ$17,6,FALSE),"")</f>
        <v>3724</v>
      </c>
      <c r="P101" s="107">
        <f>IFERROR(VLOOKUP(P$4,'Long stay'!$BB$4:$BJ$17,6,FALSE),"")</f>
        <v>3753.2857142857142</v>
      </c>
      <c r="Q101" s="80" t="str">
        <f>IFERROR(VLOOKUP(Q$4,'Long stay'!$AF$4:$AM$18,6,FALSE),"")</f>
        <v/>
      </c>
      <c r="Z101" s="50"/>
      <c r="AA101" s="50"/>
      <c r="AB101" s="50"/>
      <c r="AC101" s="50"/>
    </row>
    <row r="102" spans="2:29" x14ac:dyDescent="0.25">
      <c r="B102" s="132"/>
      <c r="C102" s="11" t="s">
        <v>239</v>
      </c>
      <c r="D102" s="107">
        <f>IFERROR(VLOOKUP(D$4,'Long stay'!$BB$4:$BJ$17,7,FALSE),"")</f>
        <v>2162.2857142857142</v>
      </c>
      <c r="E102" s="107">
        <f>IFERROR(VLOOKUP(E$4,'Long stay'!$BB$4:$BJ$17,7,FALSE),"")</f>
        <v>2145.1428571428573</v>
      </c>
      <c r="F102" s="107">
        <f>IFERROR(VLOOKUP(F$4,'Long stay'!$BB$4:$BJ$17,7,FALSE),"")</f>
        <v>2044.4285714285713</v>
      </c>
      <c r="G102" s="107">
        <f>IFERROR(VLOOKUP(G$4,'Long stay'!$BB$4:$BJ$17,7,FALSE),"")</f>
        <v>2029.2857142857142</v>
      </c>
      <c r="H102" s="107">
        <f>IFERROR(VLOOKUP(H$4,'Long stay'!$BB$4:$BJ$17,7,FALSE),"")</f>
        <v>2287.7142857142858</v>
      </c>
      <c r="I102" s="107">
        <f>IFERROR(VLOOKUP(I$4,'Long stay'!$BB$4:$BJ$17,7,FALSE),"")</f>
        <v>2327.5714285714284</v>
      </c>
      <c r="J102" s="107">
        <f>IFERROR(VLOOKUP(J$4,'Long stay'!$BB$4:$BJ$17,7,FALSE),"")</f>
        <v>2300</v>
      </c>
      <c r="K102" s="107">
        <f>IFERROR(VLOOKUP(K$4,'Long stay'!$BB$4:$BJ$17,7,FALSE),"")</f>
        <v>2348.1428571428573</v>
      </c>
      <c r="L102" s="107">
        <f>IFERROR(VLOOKUP(L$4,'Long stay'!$BB$4:$BJ$17,7,FALSE),"")</f>
        <v>2353.1428571428573</v>
      </c>
      <c r="M102" s="107">
        <f>IFERROR(VLOOKUP(M$4,'Long stay'!$BB$4:$BJ$17,7,FALSE),"")</f>
        <v>2309.2857142857142</v>
      </c>
      <c r="N102" s="107">
        <f>IFERROR(VLOOKUP(N$4,'Long stay'!$BB$4:$BJ$17,7,FALSE),"")</f>
        <v>2301.7142857142858</v>
      </c>
      <c r="O102" s="107">
        <f>IFERROR(VLOOKUP(O$4,'Long stay'!$BB$4:$BJ$17,7,FALSE),"")</f>
        <v>2336.2857142857142</v>
      </c>
      <c r="P102" s="107">
        <f>IFERROR(VLOOKUP(P$4,'Long stay'!$BB$4:$BJ$17,7,FALSE),"")</f>
        <v>2320</v>
      </c>
      <c r="Q102" s="80" t="str">
        <f>IFERROR(VLOOKUP(Q$4,'Long stay'!$AF$4:$AM$18,7,FALSE),"")</f>
        <v/>
      </c>
      <c r="Z102" s="104"/>
      <c r="AA102" s="104"/>
      <c r="AB102" s="104"/>
      <c r="AC102" s="50"/>
    </row>
    <row r="103" spans="2:29" x14ac:dyDescent="0.25">
      <c r="B103" s="132"/>
      <c r="C103" s="40" t="s">
        <v>10</v>
      </c>
      <c r="D103" s="128">
        <v>16587.714285714286</v>
      </c>
      <c r="E103" s="128">
        <v>16862</v>
      </c>
      <c r="F103" s="128">
        <v>15784.142857142857</v>
      </c>
      <c r="G103" s="128">
        <v>16555.714285714286</v>
      </c>
      <c r="H103" s="128">
        <v>17596.142857142859</v>
      </c>
      <c r="I103" s="128">
        <v>17721.142857142859</v>
      </c>
      <c r="J103" s="128">
        <v>17571.714285714286</v>
      </c>
      <c r="K103" s="128">
        <v>17811.714285714286</v>
      </c>
      <c r="L103" s="128">
        <v>17930.428571428572</v>
      </c>
      <c r="M103" s="128">
        <v>17813</v>
      </c>
      <c r="N103" s="128">
        <v>17990.857142857141</v>
      </c>
      <c r="O103" s="128">
        <v>17795</v>
      </c>
      <c r="P103" s="128">
        <v>17920.428571428572</v>
      </c>
      <c r="Z103" s="50"/>
      <c r="AA103" s="50"/>
      <c r="AB103" s="50"/>
      <c r="AC103" s="50"/>
    </row>
    <row r="104" spans="2:29" x14ac:dyDescent="0.25">
      <c r="B104" s="132"/>
      <c r="C104" s="1" t="s">
        <v>234</v>
      </c>
      <c r="D104" s="14">
        <v>14924.714285714286</v>
      </c>
      <c r="E104" s="14">
        <v>14588.571428571429</v>
      </c>
      <c r="F104" s="14">
        <v>13976.857142857143</v>
      </c>
      <c r="G104" s="14">
        <v>14105.857142857143</v>
      </c>
      <c r="H104" s="14">
        <v>15564.142857142857</v>
      </c>
      <c r="I104" s="14">
        <v>16009.142857142857</v>
      </c>
      <c r="J104" s="14">
        <v>15653.428571428571</v>
      </c>
      <c r="K104" s="14">
        <v>15549.857142857143</v>
      </c>
      <c r="L104" s="14">
        <v>15636.714285714286</v>
      </c>
      <c r="M104" s="14">
        <v>15513.285714285714</v>
      </c>
      <c r="N104" s="14">
        <v>15632.285714285714</v>
      </c>
      <c r="O104" s="14">
        <v>15644.285714285714</v>
      </c>
      <c r="P104" s="14">
        <v>16095.714285714286</v>
      </c>
      <c r="Z104" s="50"/>
      <c r="AA104" s="50"/>
      <c r="AB104" s="50"/>
      <c r="AC104" s="50"/>
    </row>
    <row r="105" spans="2:29" ht="7.5" customHeight="1" x14ac:dyDescent="0.25">
      <c r="B105" s="132"/>
      <c r="C105" s="40"/>
      <c r="Z105" s="50"/>
      <c r="AA105" s="50"/>
      <c r="AB105" s="50"/>
      <c r="AC105" s="50"/>
    </row>
    <row r="106" spans="2:29" x14ac:dyDescent="0.25">
      <c r="B106" s="132"/>
      <c r="C106" s="16" t="s">
        <v>268</v>
      </c>
      <c r="D106" s="61">
        <f>IFERROR(VLOOKUP(D$4,'Long stay'!$AF$4:$AN$17,2,FALSE),"")</f>
        <v>15383.714285714286</v>
      </c>
      <c r="E106" s="113">
        <f>IFERROR(VLOOKUP(E$4,'Long stay'!$AF$4:$AN$17,2,FALSE),"")</f>
        <v>15362</v>
      </c>
      <c r="F106" s="113">
        <f>IFERROR(VLOOKUP(F$4,'Long stay'!$AF$4:$AN$17,2,FALSE),"")</f>
        <v>15044.857142857143</v>
      </c>
      <c r="G106" s="113">
        <f>IFERROR(VLOOKUP(G$4,'Long stay'!$AF$4:$AN$17,2,FALSE),"")</f>
        <v>14660.571428571429</v>
      </c>
      <c r="H106" s="113">
        <f>IFERROR(VLOOKUP(H$4,'Long stay'!$AF$4:$AN$17,2,FALSE),"")</f>
        <v>16412.857142857141</v>
      </c>
      <c r="I106" s="113">
        <f>IFERROR(VLOOKUP(I$4,'Long stay'!$AF$4:$AN$17,2,FALSE),"")</f>
        <v>17087</v>
      </c>
      <c r="J106" s="113">
        <f>IFERROR(VLOOKUP(J$4,'Long stay'!$AF$4:$AN$17,2,FALSE),"")</f>
        <v>16828.142857142859</v>
      </c>
      <c r="K106" s="113">
        <f>IFERROR(VLOOKUP(K$4,'Long stay'!$AF$4:$AN$17,2,FALSE),"")</f>
        <v>16632.428571428572</v>
      </c>
      <c r="L106" s="113">
        <f>IFERROR(VLOOKUP(L$4,'Long stay'!$AF$4:$AN$17,2,FALSE),"")</f>
        <v>16630.857142857141</v>
      </c>
      <c r="M106" s="113">
        <f>IFERROR(VLOOKUP(M$4,'Long stay'!$AF$4:$AN$17,2,FALSE),"")</f>
        <v>16398.714285714286</v>
      </c>
      <c r="N106" s="113">
        <f>IFERROR(VLOOKUP(N$4,'Long stay'!$AF$4:$AN$17,2,FALSE),"")</f>
        <v>16455.142857142859</v>
      </c>
      <c r="O106" s="113">
        <f>IFERROR(VLOOKUP(O$4,'Long stay'!$AF$4:$AN$17,2,FALSE),"")</f>
        <v>16353.285714285714</v>
      </c>
      <c r="P106" s="113">
        <f>IFERROR(VLOOKUP(P$4,'Long stay'!$AF$4:$AN$17,2,FALSE),"")</f>
        <v>16204.714285714286</v>
      </c>
      <c r="Q106" s="79" t="str">
        <f>IFERROR(VLOOKUP(Q$4,'Long stay'!$AF$4:$AM$18,2,FALSE),"")</f>
        <v/>
      </c>
      <c r="Z106" s="50"/>
      <c r="AA106" s="50"/>
      <c r="AB106" s="50"/>
      <c r="AC106" s="50"/>
    </row>
    <row r="107" spans="2:29" x14ac:dyDescent="0.25">
      <c r="B107" s="132"/>
      <c r="C107" s="1" t="s">
        <v>1</v>
      </c>
      <c r="D107" s="107">
        <f>IFERROR(VLOOKUP(D$4,'Long stay'!$AF$4:$AN$17,3,FALSE),"")</f>
        <v>2449</v>
      </c>
      <c r="E107" s="107">
        <f>IFERROR(VLOOKUP(E$4,'Long stay'!$AF$4:$AN$17,3,FALSE),"")</f>
        <v>2432.1428571428573</v>
      </c>
      <c r="F107" s="107">
        <f>IFERROR(VLOOKUP(F$4,'Long stay'!$AF$4:$AN$17,3,FALSE),"")</f>
        <v>2424.1428571428573</v>
      </c>
      <c r="G107" s="107">
        <f>IFERROR(VLOOKUP(G$4,'Long stay'!$AF$4:$AN$17,3,FALSE),"")</f>
        <v>2320.5714285714284</v>
      </c>
      <c r="H107" s="107">
        <f>IFERROR(VLOOKUP(H$4,'Long stay'!$AF$4:$AN$17,3,FALSE),"")</f>
        <v>2560.2857142857142</v>
      </c>
      <c r="I107" s="107">
        <f>IFERROR(VLOOKUP(I$4,'Long stay'!$AF$4:$AN$17,3,FALSE),"")</f>
        <v>2628.7142857142858</v>
      </c>
      <c r="J107" s="107">
        <f>IFERROR(VLOOKUP(J$4,'Long stay'!$AF$4:$AN$17,3,FALSE),"")</f>
        <v>2556.4285714285716</v>
      </c>
      <c r="K107" s="107">
        <f>IFERROR(VLOOKUP(K$4,'Long stay'!$AF$4:$AN$17,3,FALSE),"")</f>
        <v>2511</v>
      </c>
      <c r="L107" s="107">
        <f>IFERROR(VLOOKUP(L$4,'Long stay'!$AF$4:$AN$17,3,FALSE),"")</f>
        <v>2550</v>
      </c>
      <c r="M107" s="107">
        <f>IFERROR(VLOOKUP(M$4,'Long stay'!$AF$4:$AN$17,3,FALSE),"")</f>
        <v>2481.4285714285716</v>
      </c>
      <c r="N107" s="107">
        <f>IFERROR(VLOOKUP(N$4,'Long stay'!$AF$4:$AN$17,3,FALSE),"")</f>
        <v>2473</v>
      </c>
      <c r="O107" s="107">
        <f>IFERROR(VLOOKUP(O$4,'Long stay'!$AF$4:$AN$17,3,FALSE),"")</f>
        <v>2493.8571428571427</v>
      </c>
      <c r="P107" s="107">
        <f>IFERROR(VLOOKUP(P$4,'Long stay'!$AF$4:$AN$17,3,FALSE),"")</f>
        <v>2405.1428571428573</v>
      </c>
      <c r="Q107" s="80" t="str">
        <f>IFERROR(VLOOKUP(Q$4,'Long stay'!$AF$4:$AM$18,3,FALSE),"")</f>
        <v/>
      </c>
      <c r="Z107" s="50"/>
      <c r="AA107" s="50"/>
      <c r="AB107" s="50"/>
      <c r="AC107" s="50"/>
    </row>
    <row r="108" spans="2:29" x14ac:dyDescent="0.25">
      <c r="B108" s="132"/>
      <c r="C108" s="1" t="s">
        <v>241</v>
      </c>
      <c r="D108" s="107">
        <f>IFERROR(VLOOKUP(D$4,'Long stay'!$AF$4:$AN$17,4,FALSE),"")</f>
        <v>2683.5714285714284</v>
      </c>
      <c r="E108" s="107">
        <f>IFERROR(VLOOKUP(E$4,'Long stay'!$AF$4:$AN$17,4,FALSE),"")</f>
        <v>2689.4285714285716</v>
      </c>
      <c r="F108" s="107">
        <f>IFERROR(VLOOKUP(F$4,'Long stay'!$AF$4:$AN$17,4,FALSE),"")</f>
        <v>2649.2857142857142</v>
      </c>
      <c r="G108" s="107">
        <f>IFERROR(VLOOKUP(G$4,'Long stay'!$AF$4:$AN$17,4,FALSE),"")</f>
        <v>2520.7142857142858</v>
      </c>
      <c r="H108" s="107">
        <f>IFERROR(VLOOKUP(H$4,'Long stay'!$AF$4:$AN$17,4,FALSE),"")</f>
        <v>2823.4285714285716</v>
      </c>
      <c r="I108" s="107">
        <f>IFERROR(VLOOKUP(I$4,'Long stay'!$AF$4:$AN$17,4,FALSE),"")</f>
        <v>3039.2857142857142</v>
      </c>
      <c r="J108" s="107">
        <f>IFERROR(VLOOKUP(J$4,'Long stay'!$AF$4:$AN$17,4,FALSE),"")</f>
        <v>2967.5714285714284</v>
      </c>
      <c r="K108" s="107">
        <f>IFERROR(VLOOKUP(K$4,'Long stay'!$AF$4:$AN$17,4,FALSE),"")</f>
        <v>2852</v>
      </c>
      <c r="L108" s="107">
        <f>IFERROR(VLOOKUP(L$4,'Long stay'!$AF$4:$AN$17,4,FALSE),"")</f>
        <v>2776.7142857142858</v>
      </c>
      <c r="M108" s="107">
        <f>IFERROR(VLOOKUP(M$4,'Long stay'!$AF$4:$AN$17,4,FALSE),"")</f>
        <v>2853</v>
      </c>
      <c r="N108" s="107">
        <f>IFERROR(VLOOKUP(N$4,'Long stay'!$AF$4:$AN$17,4,FALSE),"")</f>
        <v>2883.4285714285716</v>
      </c>
      <c r="O108" s="107">
        <f>IFERROR(VLOOKUP(O$4,'Long stay'!$AF$4:$AN$17,4,FALSE),"")</f>
        <v>2876.7142857142858</v>
      </c>
      <c r="P108" s="107">
        <f>IFERROR(VLOOKUP(P$4,'Long stay'!$AF$4:$AN$17,4,FALSE),"")</f>
        <v>2838.8571428571427</v>
      </c>
      <c r="Q108" s="80" t="str">
        <f>IFERROR(VLOOKUP(Q$4,'Long stay'!$AF$4:$AM$18,4,FALSE),"")</f>
        <v/>
      </c>
      <c r="Z108" s="50"/>
      <c r="AA108" s="50"/>
      <c r="AB108" s="50"/>
      <c r="AC108" s="50"/>
    </row>
    <row r="109" spans="2:29" x14ac:dyDescent="0.25">
      <c r="B109" s="132"/>
      <c r="C109" s="1" t="s">
        <v>281</v>
      </c>
      <c r="D109" s="107">
        <f>IFERROR(VLOOKUP(D$4,'Long stay'!$AF$4:$AN$17,8,FALSE),"")</f>
        <v>1303.7142857142858</v>
      </c>
      <c r="E109" s="107">
        <f>IFERROR(VLOOKUP(E$4,'Long stay'!$AF$4:$AN$17,8,FALSE),"")</f>
        <v>1302.5714285714287</v>
      </c>
      <c r="F109" s="107">
        <f>IFERROR(VLOOKUP(F$4,'Long stay'!$AF$4:$AN$17,8,FALSE),"")</f>
        <v>1273.1428571428571</v>
      </c>
      <c r="G109" s="107">
        <f>IFERROR(VLOOKUP(G$4,'Long stay'!$AF$4:$AN$17,8,FALSE),"")</f>
        <v>1264.8571428571429</v>
      </c>
      <c r="H109" s="107">
        <f>IFERROR(VLOOKUP(H$4,'Long stay'!$AF$4:$AN$17,8,FALSE),"")</f>
        <v>1416.8571428571429</v>
      </c>
      <c r="I109" s="107">
        <f>IFERROR(VLOOKUP(I$4,'Long stay'!$AF$4:$AN$17,8,FALSE),"")</f>
        <v>1446.2857142857142</v>
      </c>
      <c r="J109" s="107">
        <f>IFERROR(VLOOKUP(J$4,'Long stay'!$AF$4:$AN$17,8,FALSE),"")</f>
        <v>1432.8571428571429</v>
      </c>
      <c r="K109" s="107">
        <f>IFERROR(VLOOKUP(K$4,'Long stay'!$AF$4:$AN$17,8,FALSE),"")</f>
        <v>1440.2857142857142</v>
      </c>
      <c r="L109" s="107">
        <f>IFERROR(VLOOKUP(L$4,'Long stay'!$AF$4:$AN$17,8,FALSE),"")</f>
        <v>1451.5714285714287</v>
      </c>
      <c r="M109" s="107">
        <f>IFERROR(VLOOKUP(M$4,'Long stay'!$AF$4:$AN$17,8,FALSE),"")</f>
        <v>1505</v>
      </c>
      <c r="N109" s="107">
        <f>IFERROR(VLOOKUP(N$4,'Long stay'!$AF$4:$AN$17,8,FALSE),"")</f>
        <v>1499.1428571428571</v>
      </c>
      <c r="O109" s="107">
        <f>IFERROR(VLOOKUP(O$4,'Long stay'!$AF$4:$AN$17,8,FALSE),"")</f>
        <v>1497</v>
      </c>
      <c r="P109" s="107">
        <f>IFERROR(VLOOKUP(P$4,'Long stay'!$AF$4:$AN$17,8,FALSE),"")</f>
        <v>1479.7142857142858</v>
      </c>
      <c r="Q109" s="80"/>
      <c r="Z109" s="115"/>
      <c r="AA109" s="115"/>
      <c r="AB109" s="115"/>
      <c r="AC109" s="115"/>
    </row>
    <row r="110" spans="2:29" x14ac:dyDescent="0.25">
      <c r="B110" s="132"/>
      <c r="C110" s="1" t="s">
        <v>282</v>
      </c>
      <c r="D110" s="107">
        <f>IFERROR(VLOOKUP(D$4,'Long stay'!$AF$4:$AN$17,5,FALSE),"")</f>
        <v>2520.4285714285716</v>
      </c>
      <c r="E110" s="107">
        <f>IFERROR(VLOOKUP(E$4,'Long stay'!$AF$4:$AN$17,5,FALSE),"")</f>
        <v>2562.5714285714284</v>
      </c>
      <c r="F110" s="107">
        <f>IFERROR(VLOOKUP(F$4,'Long stay'!$AF$4:$AN$17,5,FALSE),"")</f>
        <v>2515.1428571428573</v>
      </c>
      <c r="G110" s="107">
        <f>IFERROR(VLOOKUP(G$4,'Long stay'!$AF$4:$AN$17,5,FALSE),"")</f>
        <v>2474.7142857142858</v>
      </c>
      <c r="H110" s="107">
        <f>IFERROR(VLOOKUP(H$4,'Long stay'!$AF$4:$AN$17,5,FALSE),"")</f>
        <v>2789.1428571428573</v>
      </c>
      <c r="I110" s="107">
        <f>IFERROR(VLOOKUP(I$4,'Long stay'!$AF$4:$AN$17,5,FALSE),"")</f>
        <v>2916.7142857142858</v>
      </c>
      <c r="J110" s="107">
        <f>IFERROR(VLOOKUP(J$4,'Long stay'!$AF$4:$AN$17,5,FALSE),"")</f>
        <v>2882.4285714285716</v>
      </c>
      <c r="K110" s="107">
        <f>IFERROR(VLOOKUP(K$4,'Long stay'!$AF$4:$AN$17,5,FALSE),"")</f>
        <v>2880.5714285714284</v>
      </c>
      <c r="L110" s="107">
        <f>IFERROR(VLOOKUP(L$4,'Long stay'!$AF$4:$AN$17,5,FALSE),"")</f>
        <v>2886.2857142857142</v>
      </c>
      <c r="M110" s="107">
        <f>IFERROR(VLOOKUP(M$4,'Long stay'!$AF$4:$AN$17,5,FALSE),"")</f>
        <v>2798.4285714285716</v>
      </c>
      <c r="N110" s="107">
        <f>IFERROR(VLOOKUP(N$4,'Long stay'!$AF$4:$AN$17,5,FALSE),"")</f>
        <v>2689.5714285714284</v>
      </c>
      <c r="O110" s="107">
        <f>IFERROR(VLOOKUP(O$4,'Long stay'!$AF$4:$AN$17,5,FALSE),"")</f>
        <v>2646.1428571428573</v>
      </c>
      <c r="P110" s="107">
        <f>IFERROR(VLOOKUP(P$4,'Long stay'!$AF$4:$AN$17,5,FALSE),"")</f>
        <v>2663.7142857142858</v>
      </c>
      <c r="Q110" s="80"/>
      <c r="Z110" s="115"/>
      <c r="AA110" s="115"/>
      <c r="AB110" s="115"/>
      <c r="AC110" s="115"/>
    </row>
    <row r="111" spans="2:29" x14ac:dyDescent="0.25">
      <c r="B111" s="132"/>
      <c r="C111" s="1" t="s">
        <v>284</v>
      </c>
      <c r="D111" s="107">
        <f>IFERROR(VLOOKUP(D$4,'Long stay'!$AF$4:$AN$17,9,FALSE),"")</f>
        <v>2828.4285714285716</v>
      </c>
      <c r="E111" s="107">
        <f>IFERROR(VLOOKUP(E$4,'Long stay'!$AF$4:$AN$17,9,FALSE),"")</f>
        <v>2764.1428571428573</v>
      </c>
      <c r="F111" s="107">
        <f>IFERROR(VLOOKUP(F$4,'Long stay'!$AF$4:$AN$17,9,FALSE),"")</f>
        <v>2683.7142857142858</v>
      </c>
      <c r="G111" s="107">
        <f>IFERROR(VLOOKUP(G$4,'Long stay'!$AF$4:$AN$17,9,FALSE),"")</f>
        <v>2642.2857142857142</v>
      </c>
      <c r="H111" s="107">
        <f>IFERROR(VLOOKUP(H$4,'Long stay'!$AF$4:$AN$17,9,FALSE),"")</f>
        <v>2956.1428571428573</v>
      </c>
      <c r="I111" s="107">
        <f>IFERROR(VLOOKUP(I$4,'Long stay'!$AF$4:$AN$17,9,FALSE),"")</f>
        <v>3074.4285714285716</v>
      </c>
      <c r="J111" s="107">
        <f>IFERROR(VLOOKUP(J$4,'Long stay'!$AF$4:$AN$17,9,FALSE),"")</f>
        <v>3033.4285714285716</v>
      </c>
      <c r="K111" s="107">
        <f>IFERROR(VLOOKUP(K$4,'Long stay'!$AF$4:$AN$17,9,FALSE),"")</f>
        <v>3021.4285714285716</v>
      </c>
      <c r="L111" s="107">
        <f>IFERROR(VLOOKUP(L$4,'Long stay'!$AF$4:$AN$17,9,FALSE),"")</f>
        <v>3016.8571428571427</v>
      </c>
      <c r="M111" s="107">
        <f>IFERROR(VLOOKUP(M$4,'Long stay'!$AF$4:$AN$17,9,FALSE),"")</f>
        <v>2963.7142857142858</v>
      </c>
      <c r="N111" s="107">
        <f>IFERROR(VLOOKUP(N$4,'Long stay'!$AF$4:$AN$17,9,FALSE),"")</f>
        <v>3017.1428571428573</v>
      </c>
      <c r="O111" s="107">
        <f>IFERROR(VLOOKUP(O$4,'Long stay'!$AF$4:$AN$17,9,FALSE),"")</f>
        <v>3020.1428571428573</v>
      </c>
      <c r="P111" s="107">
        <f>IFERROR(VLOOKUP(P$4,'Long stay'!$AF$4:$AN$17,9,FALSE),"")</f>
        <v>2979.2857142857142</v>
      </c>
      <c r="Q111" s="80" t="str">
        <f>IFERROR(VLOOKUP(Q$4,'Long stay'!$AF$4:$AM$18,5,FALSE),"")</f>
        <v/>
      </c>
      <c r="Z111" s="50"/>
      <c r="AA111" s="50"/>
      <c r="AB111" s="50"/>
      <c r="AC111" s="50"/>
    </row>
    <row r="112" spans="2:29" x14ac:dyDescent="0.25">
      <c r="B112" s="132"/>
      <c r="C112" s="1" t="s">
        <v>238</v>
      </c>
      <c r="D112" s="107">
        <f>IFERROR(VLOOKUP(D$4,'Long stay'!$AF$4:$AN$17,6,FALSE),"")</f>
        <v>2290.5714285714284</v>
      </c>
      <c r="E112" s="107">
        <f>IFERROR(VLOOKUP(E$4,'Long stay'!$AF$4:$AN$17,6,FALSE),"")</f>
        <v>2293.5714285714284</v>
      </c>
      <c r="F112" s="107">
        <f>IFERROR(VLOOKUP(F$4,'Long stay'!$AF$4:$AN$17,6,FALSE),"")</f>
        <v>2236.8571428571427</v>
      </c>
      <c r="G112" s="107">
        <f>IFERROR(VLOOKUP(G$4,'Long stay'!$AF$4:$AN$17,6,FALSE),"")</f>
        <v>2200.2857142857142</v>
      </c>
      <c r="H112" s="107">
        <f>IFERROR(VLOOKUP(H$4,'Long stay'!$AF$4:$AN$17,6,FALSE),"")</f>
        <v>2497.1428571428573</v>
      </c>
      <c r="I112" s="107">
        <f>IFERROR(VLOOKUP(I$4,'Long stay'!$AF$4:$AN$17,6,FALSE),"")</f>
        <v>2583.5714285714284</v>
      </c>
      <c r="J112" s="107">
        <f>IFERROR(VLOOKUP(J$4,'Long stay'!$AF$4:$AN$17,6,FALSE),"")</f>
        <v>2513.4285714285716</v>
      </c>
      <c r="K112" s="107">
        <f>IFERROR(VLOOKUP(K$4,'Long stay'!$AF$4:$AN$17,6,FALSE),"")</f>
        <v>2480.2857142857142</v>
      </c>
      <c r="L112" s="107">
        <f>IFERROR(VLOOKUP(L$4,'Long stay'!$AF$4:$AN$17,6,FALSE),"")</f>
        <v>2492.7142857142858</v>
      </c>
      <c r="M112" s="107">
        <f>IFERROR(VLOOKUP(M$4,'Long stay'!$AF$4:$AN$17,6,FALSE),"")</f>
        <v>2349.5714285714284</v>
      </c>
      <c r="N112" s="107">
        <f>IFERROR(VLOOKUP(N$4,'Long stay'!$AF$4:$AN$17,6,FALSE),"")</f>
        <v>2418</v>
      </c>
      <c r="O112" s="107">
        <f>IFERROR(VLOOKUP(O$4,'Long stay'!$AF$4:$AN$17,6,FALSE),"")</f>
        <v>2358.5714285714284</v>
      </c>
      <c r="P112" s="107">
        <f>IFERROR(VLOOKUP(P$4,'Long stay'!$AF$4:$AN$17,6,FALSE),"")</f>
        <v>2376.7142857142858</v>
      </c>
      <c r="Q112" s="80" t="str">
        <f>IFERROR(VLOOKUP(Q$4,'Long stay'!$AF$4:$AM$18,6,FALSE),"")</f>
        <v/>
      </c>
      <c r="Z112" s="50"/>
      <c r="AA112" s="50"/>
      <c r="AB112" s="50"/>
      <c r="AC112" s="50"/>
    </row>
    <row r="113" spans="2:29" x14ac:dyDescent="0.25">
      <c r="B113" s="132"/>
      <c r="C113" s="11" t="s">
        <v>239</v>
      </c>
      <c r="D113" s="107">
        <f>IFERROR(VLOOKUP(D$4,'Long stay'!$AF$4:$AN$17,7,FALSE),"")</f>
        <v>1308</v>
      </c>
      <c r="E113" s="107">
        <f>IFERROR(VLOOKUP(E$4,'Long stay'!$AF$4:$AN$17,7,FALSE),"")</f>
        <v>1317.5714285714287</v>
      </c>
      <c r="F113" s="107">
        <f>IFERROR(VLOOKUP(F$4,'Long stay'!$AF$4:$AN$17,7,FALSE),"")</f>
        <v>1262.5714285714287</v>
      </c>
      <c r="G113" s="107">
        <f>IFERROR(VLOOKUP(G$4,'Long stay'!$AF$4:$AN$17,7,FALSE),"")</f>
        <v>1237.1428571428571</v>
      </c>
      <c r="H113" s="107">
        <f>IFERROR(VLOOKUP(H$4,'Long stay'!$AF$4:$AN$17,7,FALSE),"")</f>
        <v>1369.8571428571429</v>
      </c>
      <c r="I113" s="107">
        <f>IFERROR(VLOOKUP(I$4,'Long stay'!$AF$4:$AN$17,7,FALSE),"")</f>
        <v>1398</v>
      </c>
      <c r="J113" s="107">
        <f>IFERROR(VLOOKUP(J$4,'Long stay'!$AF$4:$AN$17,7,FALSE),"")</f>
        <v>1442</v>
      </c>
      <c r="K113" s="107">
        <f>IFERROR(VLOOKUP(K$4,'Long stay'!$AF$4:$AN$17,7,FALSE),"")</f>
        <v>1446.8571428571429</v>
      </c>
      <c r="L113" s="107">
        <f>IFERROR(VLOOKUP(L$4,'Long stay'!$AF$4:$AN$17,7,FALSE),"")</f>
        <v>1456.7142857142858</v>
      </c>
      <c r="M113" s="107">
        <f>IFERROR(VLOOKUP(M$4,'Long stay'!$AF$4:$AN$17,7,FALSE),"")</f>
        <v>1447.5714285714287</v>
      </c>
      <c r="N113" s="107">
        <f>IFERROR(VLOOKUP(N$4,'Long stay'!$AF$4:$AN$17,7,FALSE),"")</f>
        <v>1474.8571428571429</v>
      </c>
      <c r="O113" s="107">
        <f>IFERROR(VLOOKUP(O$4,'Long stay'!$AF$4:$AN$17,7,FALSE),"")</f>
        <v>1460.8571428571429</v>
      </c>
      <c r="P113" s="107">
        <f>IFERROR(VLOOKUP(P$4,'Long stay'!$AF$4:$AN$17,7,FALSE),"")</f>
        <v>1461.2857142857142</v>
      </c>
      <c r="Q113" s="80" t="str">
        <f>IFERROR(VLOOKUP(Q$4,'Long stay'!$AF$4:$AM$18,7,FALSE),"")</f>
        <v/>
      </c>
      <c r="Z113" s="50"/>
      <c r="AA113" s="50"/>
      <c r="AB113" s="50"/>
      <c r="AC113" s="50"/>
    </row>
    <row r="114" spans="2:29" ht="30" customHeight="1" x14ac:dyDescent="0.25">
      <c r="C114" s="1"/>
      <c r="D114" s="58"/>
      <c r="E114" s="58"/>
      <c r="F114" s="58"/>
      <c r="G114" s="58"/>
      <c r="H114" s="58"/>
      <c r="I114" s="58"/>
      <c r="J114" s="58"/>
      <c r="K114" s="58"/>
      <c r="L114" s="58"/>
      <c r="M114" s="58"/>
      <c r="N114" s="58"/>
      <c r="O114" s="58"/>
      <c r="P114" s="58"/>
      <c r="Q114" s="58"/>
      <c r="R114" s="43"/>
    </row>
    <row r="115" spans="2:29" ht="15" customHeight="1" x14ac:dyDescent="0.25">
      <c r="B115" s="132" t="s">
        <v>12</v>
      </c>
      <c r="C115" s="13" t="s">
        <v>13</v>
      </c>
      <c r="D115" s="126">
        <v>1123.1428571428571</v>
      </c>
      <c r="E115" s="126">
        <v>1071.4285714285713</v>
      </c>
      <c r="F115" s="126">
        <v>811.71428571428567</v>
      </c>
      <c r="G115" s="126">
        <v>731</v>
      </c>
      <c r="H115" s="126">
        <v>943.85714285714289</v>
      </c>
      <c r="I115" s="126">
        <v>621.28571428571433</v>
      </c>
      <c r="J115" s="126">
        <v>742</v>
      </c>
      <c r="K115" s="126">
        <v>672</v>
      </c>
      <c r="L115" s="126">
        <v>640.28571428571433</v>
      </c>
      <c r="M115" s="126">
        <v>816.85714285714289</v>
      </c>
      <c r="N115" s="126">
        <v>840.85714285714289</v>
      </c>
      <c r="O115" s="126">
        <v>949</v>
      </c>
      <c r="P115" s="126">
        <v>751.28571428571433</v>
      </c>
      <c r="Z115" s="133" t="s">
        <v>29</v>
      </c>
      <c r="AA115" s="133"/>
      <c r="AB115" s="133"/>
      <c r="AC115" s="133"/>
    </row>
    <row r="116" spans="2:29" ht="15" customHeight="1" x14ac:dyDescent="0.25">
      <c r="B116" s="132"/>
      <c r="C116" s="1" t="s">
        <v>234</v>
      </c>
      <c r="D116" s="14">
        <v>493.57142857142856</v>
      </c>
      <c r="E116" s="14">
        <v>372.85714285714283</v>
      </c>
      <c r="F116" s="14">
        <v>510.85714285714283</v>
      </c>
      <c r="G116" s="14">
        <v>504.28571428571428</v>
      </c>
      <c r="H116" s="14">
        <v>397.85714285714283</v>
      </c>
      <c r="I116" s="14">
        <v>616.85714285714289</v>
      </c>
      <c r="J116" s="14">
        <v>566.71428571428567</v>
      </c>
      <c r="K116" s="14">
        <v>530</v>
      </c>
      <c r="L116" s="14">
        <v>708.85714285714289</v>
      </c>
      <c r="M116" s="14">
        <v>652.85714285714289</v>
      </c>
      <c r="N116" s="14">
        <v>628.42857142857144</v>
      </c>
      <c r="O116" s="14">
        <v>557.14285714285711</v>
      </c>
      <c r="P116" s="14">
        <v>683.57142857142856</v>
      </c>
      <c r="Z116" s="133"/>
      <c r="AA116" s="133"/>
      <c r="AB116" s="133"/>
      <c r="AC116" s="133"/>
    </row>
    <row r="117" spans="2:29" ht="7.5" customHeight="1" x14ac:dyDescent="0.25">
      <c r="B117" s="132"/>
      <c r="C117" s="1"/>
      <c r="Z117" s="133"/>
      <c r="AA117" s="133"/>
      <c r="AB117" s="133"/>
      <c r="AC117" s="133"/>
    </row>
    <row r="118" spans="2:29" x14ac:dyDescent="0.25">
      <c r="B118" s="132"/>
      <c r="C118" s="16" t="s">
        <v>268</v>
      </c>
      <c r="D118" s="61">
        <f>IFERROR(VLOOKUP(D$4,'D&amp;V'!$R$3:$Z$16,2,FALSE),"")</f>
        <v>1025.7142857142858</v>
      </c>
      <c r="E118" s="118">
        <f>IFERROR(VLOOKUP(E$4,'D&amp;V'!$R$3:$Z$16,2,FALSE),"")</f>
        <v>892.42857142857144</v>
      </c>
      <c r="F118" s="118">
        <f>IFERROR(VLOOKUP(F$4,'D&amp;V'!$R$3:$Z$16,2,FALSE),"")</f>
        <v>799</v>
      </c>
      <c r="G118" s="118">
        <f>IFERROR(VLOOKUP(G$4,'D&amp;V'!$R$3:$Z$16,2,FALSE),"")</f>
        <v>447.85714285714283</v>
      </c>
      <c r="H118" s="118">
        <f>IFERROR(VLOOKUP(H$4,'D&amp;V'!$R$3:$Z$16,2,FALSE),"")</f>
        <v>554.57142857142856</v>
      </c>
      <c r="I118" s="118">
        <f>IFERROR(VLOOKUP(I$4,'D&amp;V'!$R$3:$Z$16,2,FALSE),"")</f>
        <v>804.28571428571433</v>
      </c>
      <c r="J118" s="118">
        <f>IFERROR(VLOOKUP(J$4,'D&amp;V'!$R$3:$Z$16,2,FALSE),"")</f>
        <v>626.71428571428567</v>
      </c>
      <c r="K118" s="118">
        <f>IFERROR(VLOOKUP(K$4,'D&amp;V'!$R$3:$Z$16,2,FALSE),"")</f>
        <v>773.42857142857144</v>
      </c>
      <c r="L118" s="118">
        <f>IFERROR(VLOOKUP(L$4,'D&amp;V'!$R$3:$Z$16,2,FALSE),"")</f>
        <v>775</v>
      </c>
      <c r="M118" s="118">
        <f>IFERROR(VLOOKUP(M$4,'D&amp;V'!$R$3:$Z$16,2,FALSE),"")</f>
        <v>657</v>
      </c>
      <c r="N118" s="118">
        <f>IFERROR(VLOOKUP(N$4,'D&amp;V'!$R$3:$Z$16,2,FALSE),"")</f>
        <v>578.57142857142856</v>
      </c>
      <c r="O118" s="118">
        <f>IFERROR(VLOOKUP(O$4,'D&amp;V'!$R$3:$Z$16,2,FALSE),"")</f>
        <v>507</v>
      </c>
      <c r="P118" s="118">
        <f>IFERROR(VLOOKUP(P$4,'D&amp;V'!$R$3:$Z$16,2,FALSE),"")</f>
        <v>608.14285714285711</v>
      </c>
      <c r="Q118" s="79" t="str">
        <f>IFERROR(VLOOKUP(Q$4,'D&amp;V'!$R$3:$Y$17,2,FALSE),"")</f>
        <v/>
      </c>
      <c r="Z118" s="133"/>
      <c r="AA118" s="133"/>
      <c r="AB118" s="133"/>
      <c r="AC118" s="133"/>
    </row>
    <row r="119" spans="2:29" x14ac:dyDescent="0.25">
      <c r="B119" s="132"/>
      <c r="C119" s="1" t="s">
        <v>1</v>
      </c>
      <c r="D119" s="107">
        <f>IFERROR(VLOOKUP(D$4,'D&amp;V'!$R$3:$Z$16,3,FALSE),"")</f>
        <v>59.428571428571431</v>
      </c>
      <c r="E119" s="107">
        <f>IFERROR(VLOOKUP(E$4,'D&amp;V'!$R$3:$Z$16,3,FALSE),"")</f>
        <v>37.428571428571431</v>
      </c>
      <c r="F119" s="107">
        <f>IFERROR(VLOOKUP(F$4,'D&amp;V'!$R$3:$Z$16,3,FALSE),"")</f>
        <v>89.571428571428569</v>
      </c>
      <c r="G119" s="107">
        <f>IFERROR(VLOOKUP(G$4,'D&amp;V'!$R$3:$Z$16,3,FALSE),"")</f>
        <v>62.857142857142854</v>
      </c>
      <c r="H119" s="107">
        <f>IFERROR(VLOOKUP(H$4,'D&amp;V'!$R$3:$Z$16,3,FALSE),"")</f>
        <v>48.857142857142854</v>
      </c>
      <c r="I119" s="107">
        <f>IFERROR(VLOOKUP(I$4,'D&amp;V'!$R$3:$Z$16,3,FALSE),"")</f>
        <v>53.714285714285715</v>
      </c>
      <c r="J119" s="107">
        <f>IFERROR(VLOOKUP(J$4,'D&amp;V'!$R$3:$Z$16,3,FALSE),"")</f>
        <v>33</v>
      </c>
      <c r="K119" s="107">
        <f>IFERROR(VLOOKUP(K$4,'D&amp;V'!$R$3:$Z$16,3,FALSE),"")</f>
        <v>44.142857142857146</v>
      </c>
      <c r="L119" s="107">
        <f>IFERROR(VLOOKUP(L$4,'D&amp;V'!$R$3:$Z$16,3,FALSE),"")</f>
        <v>62.857142857142854</v>
      </c>
      <c r="M119" s="107">
        <f>IFERROR(VLOOKUP(M$4,'D&amp;V'!$R$3:$Z$16,3,FALSE),"")</f>
        <v>76.714285714285708</v>
      </c>
      <c r="N119" s="107">
        <f>IFERROR(VLOOKUP(N$4,'D&amp;V'!$R$3:$Z$16,3,FALSE),"")</f>
        <v>59</v>
      </c>
      <c r="O119" s="107">
        <f>IFERROR(VLOOKUP(O$4,'D&amp;V'!$R$3:$Z$16,3,FALSE),"")</f>
        <v>25.428571428571427</v>
      </c>
      <c r="P119" s="107">
        <f>IFERROR(VLOOKUP(P$4,'D&amp;V'!$R$3:$Z$16,3,FALSE),"")</f>
        <v>11.142857142857142</v>
      </c>
      <c r="Q119" s="80" t="str">
        <f>IFERROR(VLOOKUP(Q$4,'D&amp;V'!$R$3:$Y$17,3,FALSE),"")</f>
        <v/>
      </c>
      <c r="Z119" s="15"/>
      <c r="AA119" s="15"/>
      <c r="AB119" s="15"/>
      <c r="AC119" s="15"/>
    </row>
    <row r="120" spans="2:29" x14ac:dyDescent="0.25">
      <c r="B120" s="132"/>
      <c r="C120" s="1" t="s">
        <v>241</v>
      </c>
      <c r="D120" s="107">
        <f>IFERROR(VLOOKUP(D$4,'D&amp;V'!$R$3:$Z$16,4,FALSE),"")</f>
        <v>245.71428571428572</v>
      </c>
      <c r="E120" s="107">
        <f>IFERROR(VLOOKUP(E$4,'D&amp;V'!$R$3:$Z$16,4,FALSE),"")</f>
        <v>168.71428571428572</v>
      </c>
      <c r="F120" s="107">
        <f>IFERROR(VLOOKUP(F$4,'D&amp;V'!$R$3:$Z$16,4,FALSE),"")</f>
        <v>76.142857142857139</v>
      </c>
      <c r="G120" s="107">
        <f>IFERROR(VLOOKUP(G$4,'D&amp;V'!$R$3:$Z$16,4,FALSE),"")</f>
        <v>43.428571428571431</v>
      </c>
      <c r="H120" s="107">
        <f>IFERROR(VLOOKUP(H$4,'D&amp;V'!$R$3:$Z$16,4,FALSE),"")</f>
        <v>122.71428571428571</v>
      </c>
      <c r="I120" s="107">
        <f>IFERROR(VLOOKUP(I$4,'D&amp;V'!$R$3:$Z$16,4,FALSE),"")</f>
        <v>130.28571428571428</v>
      </c>
      <c r="J120" s="107">
        <f>IFERROR(VLOOKUP(J$4,'D&amp;V'!$R$3:$Z$16,4,FALSE),"")</f>
        <v>94.714285714285708</v>
      </c>
      <c r="K120" s="107">
        <f>IFERROR(VLOOKUP(K$4,'D&amp;V'!$R$3:$Z$16,4,FALSE),"")</f>
        <v>181</v>
      </c>
      <c r="L120" s="107">
        <f>IFERROR(VLOOKUP(L$4,'D&amp;V'!$R$3:$Z$16,4,FALSE),"")</f>
        <v>127.85714285714286</v>
      </c>
      <c r="M120" s="107">
        <f>IFERROR(VLOOKUP(M$4,'D&amp;V'!$R$3:$Z$16,4,FALSE),"")</f>
        <v>132</v>
      </c>
      <c r="N120" s="107">
        <f>IFERROR(VLOOKUP(N$4,'D&amp;V'!$R$3:$Z$16,4,FALSE),"")</f>
        <v>155.71428571428572</v>
      </c>
      <c r="O120" s="107">
        <f>IFERROR(VLOOKUP(O$4,'D&amp;V'!$R$3:$Z$16,4,FALSE),"")</f>
        <v>144.28571428571428</v>
      </c>
      <c r="P120" s="107">
        <f>IFERROR(VLOOKUP(P$4,'D&amp;V'!$R$3:$Z$16,4,FALSE),"")</f>
        <v>214.71428571428572</v>
      </c>
      <c r="Q120" s="80" t="str">
        <f>IFERROR(VLOOKUP(Q$4,'D&amp;V'!$R$3:$Y$17,4,FALSE),"")</f>
        <v/>
      </c>
      <c r="Z120" s="130" t="s">
        <v>325</v>
      </c>
      <c r="AA120" s="130"/>
      <c r="AB120" s="130"/>
      <c r="AC120" s="130"/>
    </row>
    <row r="121" spans="2:29" x14ac:dyDescent="0.25">
      <c r="B121" s="132"/>
      <c r="C121" s="1" t="s">
        <v>281</v>
      </c>
      <c r="D121" s="107">
        <f>IFERROR(VLOOKUP(D$4,'D&amp;V'!$R$3:$Z$16,8,FALSE),"")</f>
        <v>19.142857142857142</v>
      </c>
      <c r="E121" s="107">
        <f>IFERROR(VLOOKUP(E$4,'D&amp;V'!$R$3:$Z$16,8,FALSE),"")</f>
        <v>54</v>
      </c>
      <c r="F121" s="107">
        <f>IFERROR(VLOOKUP(F$4,'D&amp;V'!$R$3:$Z$16,8,FALSE),"")</f>
        <v>66.428571428571431</v>
      </c>
      <c r="G121" s="107">
        <f>IFERROR(VLOOKUP(G$4,'D&amp;V'!$R$3:$Z$16,8,FALSE),"")</f>
        <v>22.857142857142858</v>
      </c>
      <c r="H121" s="107">
        <f>IFERROR(VLOOKUP(H$4,'D&amp;V'!$R$3:$Z$16,8,FALSE),"")</f>
        <v>56.714285714285715</v>
      </c>
      <c r="I121" s="107">
        <f>IFERROR(VLOOKUP(I$4,'D&amp;V'!$R$3:$Z$16,8,FALSE),"")</f>
        <v>94.857142857142861</v>
      </c>
      <c r="J121" s="107">
        <f>IFERROR(VLOOKUP(J$4,'D&amp;V'!$R$3:$Z$16,8,FALSE),"")</f>
        <v>79.571428571428569</v>
      </c>
      <c r="K121" s="107">
        <f>IFERROR(VLOOKUP(K$4,'D&amp;V'!$R$3:$Z$16,8,FALSE),"")</f>
        <v>96.571428571428569</v>
      </c>
      <c r="L121" s="107">
        <f>IFERROR(VLOOKUP(L$4,'D&amp;V'!$R$3:$Z$16,8,FALSE),"")</f>
        <v>99.857142857142861</v>
      </c>
      <c r="M121" s="107">
        <f>IFERROR(VLOOKUP(M$4,'D&amp;V'!$R$3:$Z$16,8,FALSE),"")</f>
        <v>105.71428571428571</v>
      </c>
      <c r="N121" s="107">
        <f>IFERROR(VLOOKUP(N$4,'D&amp;V'!$R$3:$Z$16,8,FALSE),"")</f>
        <v>143.57142857142858</v>
      </c>
      <c r="O121" s="107">
        <f>IFERROR(VLOOKUP(O$4,'D&amp;V'!$R$3:$Z$16,8,FALSE),"")</f>
        <v>108.28571428571429</v>
      </c>
      <c r="P121" s="107">
        <f>IFERROR(VLOOKUP(P$4,'D&amp;V'!$R$3:$Z$16,8,FALSE),"")</f>
        <v>89.285714285714292</v>
      </c>
      <c r="Q121" s="80"/>
      <c r="Z121" s="130"/>
      <c r="AA121" s="130"/>
      <c r="AB121" s="130"/>
      <c r="AC121" s="130"/>
    </row>
    <row r="122" spans="2:29" x14ac:dyDescent="0.25">
      <c r="B122" s="132"/>
      <c r="C122" s="1" t="s">
        <v>282</v>
      </c>
      <c r="D122" s="107">
        <f>IFERROR(VLOOKUP(D$4,'D&amp;V'!$R$3:$Z$16,5,FALSE),"")</f>
        <v>201</v>
      </c>
      <c r="E122" s="107">
        <f>IFERROR(VLOOKUP(E$4,'D&amp;V'!$R$3:$Z$16,5,FALSE),"")</f>
        <v>129.14285714285714</v>
      </c>
      <c r="F122" s="107">
        <f>IFERROR(VLOOKUP(F$4,'D&amp;V'!$R$3:$Z$16,5,FALSE),"")</f>
        <v>142.57142857142858</v>
      </c>
      <c r="G122" s="107">
        <f>IFERROR(VLOOKUP(G$4,'D&amp;V'!$R$3:$Z$16,5,FALSE),"")</f>
        <v>56.571428571428569</v>
      </c>
      <c r="H122" s="107">
        <f>IFERROR(VLOOKUP(H$4,'D&amp;V'!$R$3:$Z$16,5,FALSE),"")</f>
        <v>50.142857142857146</v>
      </c>
      <c r="I122" s="107">
        <f>IFERROR(VLOOKUP(I$4,'D&amp;V'!$R$3:$Z$16,5,FALSE),"")</f>
        <v>151.85714285714286</v>
      </c>
      <c r="J122" s="107">
        <f>IFERROR(VLOOKUP(J$4,'D&amp;V'!$R$3:$Z$16,5,FALSE),"")</f>
        <v>103.57142857142857</v>
      </c>
      <c r="K122" s="107">
        <f>IFERROR(VLOOKUP(K$4,'D&amp;V'!$R$3:$Z$16,5,FALSE),"")</f>
        <v>96.714285714285708</v>
      </c>
      <c r="L122" s="107">
        <f>IFERROR(VLOOKUP(L$4,'D&amp;V'!$R$3:$Z$16,5,FALSE),"")</f>
        <v>110.28571428571429</v>
      </c>
      <c r="M122" s="107">
        <f>IFERROR(VLOOKUP(M$4,'D&amp;V'!$R$3:$Z$16,5,FALSE),"")</f>
        <v>124</v>
      </c>
      <c r="N122" s="107">
        <f>IFERROR(VLOOKUP(N$4,'D&amp;V'!$R$3:$Z$16,5,FALSE),"")</f>
        <v>51.142857142857146</v>
      </c>
      <c r="O122" s="107">
        <f>IFERROR(VLOOKUP(O$4,'D&amp;V'!$R$3:$Z$16,5,FALSE),"")</f>
        <v>84.857142857142861</v>
      </c>
      <c r="P122" s="107">
        <f>IFERROR(VLOOKUP(P$4,'D&amp;V'!$R$3:$Z$16,5,FALSE),"")</f>
        <v>136.71428571428572</v>
      </c>
      <c r="Q122" s="80"/>
      <c r="Z122" s="130"/>
      <c r="AA122" s="130"/>
      <c r="AB122" s="130"/>
      <c r="AC122" s="130"/>
    </row>
    <row r="123" spans="2:29" x14ac:dyDescent="0.25">
      <c r="B123" s="132"/>
      <c r="C123" s="1" t="s">
        <v>284</v>
      </c>
      <c r="D123" s="107">
        <f>IFERROR(VLOOKUP(D$4,'D&amp;V'!$R$3:$Z$16,9,FALSE),"")</f>
        <v>264.85714285714283</v>
      </c>
      <c r="E123" s="107">
        <f>IFERROR(VLOOKUP(E$4,'D&amp;V'!$R$3:$Z$16,9,FALSE),"")</f>
        <v>197</v>
      </c>
      <c r="F123" s="107">
        <f>IFERROR(VLOOKUP(F$4,'D&amp;V'!$R$3:$Z$16,9,FALSE),"")</f>
        <v>218.71428571428572</v>
      </c>
      <c r="G123" s="107">
        <f>IFERROR(VLOOKUP(G$4,'D&amp;V'!$R$3:$Z$16,9,FALSE),"")</f>
        <v>139.42857142857142</v>
      </c>
      <c r="H123" s="107">
        <f>IFERROR(VLOOKUP(H$4,'D&amp;V'!$R$3:$Z$16,9,FALSE),"")</f>
        <v>72.857142857142861</v>
      </c>
      <c r="I123" s="107">
        <f>IFERROR(VLOOKUP(I$4,'D&amp;V'!$R$3:$Z$16,9,FALSE),"")</f>
        <v>29.285714285714285</v>
      </c>
      <c r="J123" s="107">
        <f>IFERROR(VLOOKUP(J$4,'D&amp;V'!$R$3:$Z$16,9,FALSE),"")</f>
        <v>28</v>
      </c>
      <c r="K123" s="107">
        <f>IFERROR(VLOOKUP(K$4,'D&amp;V'!$R$3:$Z$16,9,FALSE),"")</f>
        <v>18.285714285714285</v>
      </c>
      <c r="L123" s="107">
        <f>IFERROR(VLOOKUP(L$4,'D&amp;V'!$R$3:$Z$16,9,FALSE),"")</f>
        <v>24.142857142857142</v>
      </c>
      <c r="M123" s="107">
        <f>IFERROR(VLOOKUP(M$4,'D&amp;V'!$R$3:$Z$16,9,FALSE),"")</f>
        <v>13.142857142857142</v>
      </c>
      <c r="N123" s="107">
        <f>IFERROR(VLOOKUP(N$4,'D&amp;V'!$R$3:$Z$16,9,FALSE),"")</f>
        <v>12</v>
      </c>
      <c r="O123" s="107">
        <f>IFERROR(VLOOKUP(O$4,'D&amp;V'!$R$3:$Z$16,9,FALSE),"")</f>
        <v>22.714285714285715</v>
      </c>
      <c r="P123" s="107">
        <f>IFERROR(VLOOKUP(P$4,'D&amp;V'!$R$3:$Z$16,9,FALSE),"")</f>
        <v>32.428571428571431</v>
      </c>
      <c r="Q123" s="80" t="str">
        <f>IFERROR(VLOOKUP(Q$4,'D&amp;V'!$R$3:$Y$17,5,FALSE),"")</f>
        <v/>
      </c>
      <c r="Z123" s="130"/>
      <c r="AA123" s="130"/>
      <c r="AB123" s="130"/>
      <c r="AC123" s="130"/>
    </row>
    <row r="124" spans="2:29" x14ac:dyDescent="0.25">
      <c r="B124" s="132"/>
      <c r="C124" s="1" t="s">
        <v>238</v>
      </c>
      <c r="D124" s="107">
        <f>IFERROR(VLOOKUP(D$4,'D&amp;V'!$R$3:$Z$16,6,FALSE),"")</f>
        <v>63.571428571428569</v>
      </c>
      <c r="E124" s="107">
        <f>IFERROR(VLOOKUP(E$4,'D&amp;V'!$R$3:$Z$16,6,FALSE),"")</f>
        <v>72.714285714285708</v>
      </c>
      <c r="F124" s="107">
        <f>IFERROR(VLOOKUP(F$4,'D&amp;V'!$R$3:$Z$16,6,FALSE),"")</f>
        <v>58.571428571428569</v>
      </c>
      <c r="G124" s="107">
        <f>IFERROR(VLOOKUP(G$4,'D&amp;V'!$R$3:$Z$16,6,FALSE),"")</f>
        <v>42.571428571428569</v>
      </c>
      <c r="H124" s="107">
        <f>IFERROR(VLOOKUP(H$4,'D&amp;V'!$R$3:$Z$16,6,FALSE),"")</f>
        <v>78.571428571428569</v>
      </c>
      <c r="I124" s="107">
        <f>IFERROR(VLOOKUP(I$4,'D&amp;V'!$R$3:$Z$16,6,FALSE),"")</f>
        <v>222.71428571428572</v>
      </c>
      <c r="J124" s="107">
        <f>IFERROR(VLOOKUP(J$4,'D&amp;V'!$R$3:$Z$16,6,FALSE),"")</f>
        <v>209.71428571428572</v>
      </c>
      <c r="K124" s="107">
        <f>IFERROR(VLOOKUP(K$4,'D&amp;V'!$R$3:$Z$16,6,FALSE),"")</f>
        <v>225.85714285714286</v>
      </c>
      <c r="L124" s="107">
        <f>IFERROR(VLOOKUP(L$4,'D&amp;V'!$R$3:$Z$16,6,FALSE),"")</f>
        <v>188.42857142857142</v>
      </c>
      <c r="M124" s="107">
        <f>IFERROR(VLOOKUP(M$4,'D&amp;V'!$R$3:$Z$16,6,FALSE),"")</f>
        <v>102.42857142857143</v>
      </c>
      <c r="N124" s="107">
        <f>IFERROR(VLOOKUP(N$4,'D&amp;V'!$R$3:$Z$16,6,FALSE),"")</f>
        <v>47.714285714285715</v>
      </c>
      <c r="O124" s="107">
        <f>IFERROR(VLOOKUP(O$4,'D&amp;V'!$R$3:$Z$16,6,FALSE),"")</f>
        <v>40.142857142857146</v>
      </c>
      <c r="P124" s="107">
        <f>IFERROR(VLOOKUP(P$4,'D&amp;V'!$R$3:$Z$16,6,FALSE),"")</f>
        <v>74</v>
      </c>
      <c r="Q124" s="80" t="str">
        <f>IFERROR(VLOOKUP(Q$4,'D&amp;V'!$R$3:$Y$17,6,FALSE),"")</f>
        <v/>
      </c>
      <c r="Z124" s="130"/>
      <c r="AA124" s="130"/>
      <c r="AB124" s="130"/>
      <c r="AC124" s="130"/>
    </row>
    <row r="125" spans="2:29" x14ac:dyDescent="0.25">
      <c r="B125" s="132"/>
      <c r="C125" s="11" t="s">
        <v>243</v>
      </c>
      <c r="D125" s="107">
        <f>IFERROR(VLOOKUP(D$4,'D&amp;V'!$R$3:$Z$16,7,FALSE),"")</f>
        <v>172</v>
      </c>
      <c r="E125" s="107">
        <f>IFERROR(VLOOKUP(E$4,'D&amp;V'!$R$3:$Z$16,7,FALSE),"")</f>
        <v>233.42857142857142</v>
      </c>
      <c r="F125" s="107">
        <f>IFERROR(VLOOKUP(F$4,'D&amp;V'!$R$3:$Z$16,7,FALSE),"")</f>
        <v>147</v>
      </c>
      <c r="G125" s="107">
        <f>IFERROR(VLOOKUP(G$4,'D&amp;V'!$R$3:$Z$16,7,FALSE),"")</f>
        <v>80.142857142857139</v>
      </c>
      <c r="H125" s="107">
        <f>IFERROR(VLOOKUP(H$4,'D&amp;V'!$R$3:$Z$16,7,FALSE),"")</f>
        <v>124.71428571428571</v>
      </c>
      <c r="I125" s="107">
        <f>IFERROR(VLOOKUP(I$4,'D&amp;V'!$R$3:$Z$16,7,FALSE),"")</f>
        <v>121.57142857142857</v>
      </c>
      <c r="J125" s="107">
        <f>IFERROR(VLOOKUP(J$4,'D&amp;V'!$R$3:$Z$16,7,FALSE),"")</f>
        <v>78.142857142857139</v>
      </c>
      <c r="K125" s="107">
        <f>IFERROR(VLOOKUP(K$4,'D&amp;V'!$R$3:$Z$16,7,FALSE),"")</f>
        <v>110.85714285714286</v>
      </c>
      <c r="L125" s="107">
        <f>IFERROR(VLOOKUP(L$4,'D&amp;V'!$R$3:$Z$16,7,FALSE),"")</f>
        <v>161.57142857142858</v>
      </c>
      <c r="M125" s="107">
        <f>IFERROR(VLOOKUP(M$4,'D&amp;V'!$R$3:$Z$16,7,FALSE),"")</f>
        <v>103</v>
      </c>
      <c r="N125" s="107">
        <f>IFERROR(VLOOKUP(N$4,'D&amp;V'!$R$3:$Z$16,7,FALSE),"")</f>
        <v>109.42857142857143</v>
      </c>
      <c r="O125" s="107">
        <f>IFERROR(VLOOKUP(O$4,'D&amp;V'!$R$3:$Z$16,7,FALSE),"")</f>
        <v>81.285714285714292</v>
      </c>
      <c r="P125" s="107">
        <f>IFERROR(VLOOKUP(P$4,'D&amp;V'!$R$3:$Z$16,7,FALSE),"")</f>
        <v>49.857142857142854</v>
      </c>
      <c r="Q125" s="80" t="str">
        <f>IFERROR(VLOOKUP(Q$4,'D&amp;V'!$R$3:$Y$17,7,FALSE),"")</f>
        <v/>
      </c>
      <c r="Z125" s="130"/>
      <c r="AA125" s="130"/>
      <c r="AB125" s="130"/>
      <c r="AC125" s="130"/>
    </row>
    <row r="126" spans="2:29" ht="7.5" customHeight="1" x14ac:dyDescent="0.25">
      <c r="B126" s="132"/>
      <c r="Z126" s="130"/>
      <c r="AA126" s="130"/>
      <c r="AB126" s="130"/>
      <c r="AC126" s="130"/>
    </row>
    <row r="127" spans="2:29" x14ac:dyDescent="0.25">
      <c r="B127" s="132"/>
      <c r="C127" s="11" t="s">
        <v>30</v>
      </c>
      <c r="D127" s="60">
        <f>HLOOKUP(D4,'D&amp;V'!AC142:AP143,2,FALSE)</f>
        <v>55</v>
      </c>
      <c r="E127" s="60">
        <f>HLOOKUP(E4,'D&amp;V'!AD142:AQ143,2,FALSE)</f>
        <v>55</v>
      </c>
      <c r="F127" s="60">
        <f>HLOOKUP(F4,'D&amp;V'!AE142:AQ143,2,FALSE)</f>
        <v>53</v>
      </c>
      <c r="G127" s="60">
        <f>HLOOKUP(G4,'D&amp;V'!AF142:AQ143,2,FALSE)</f>
        <v>50</v>
      </c>
      <c r="H127" s="60">
        <f>HLOOKUP(H4,'D&amp;V'!AG142:AQ143,2,FALSE)</f>
        <v>53</v>
      </c>
      <c r="I127" s="60">
        <f>HLOOKUP(I4,'D&amp;V'!AH142:AQ143,2,FALSE)</f>
        <v>55</v>
      </c>
      <c r="J127" s="60">
        <f>HLOOKUP(J4,'D&amp;V'!AI142:AR143,2,FALSE)</f>
        <v>53</v>
      </c>
      <c r="K127" s="60">
        <f>HLOOKUP(K4,'D&amp;V'!AJ142:AS143,2,FALSE)</f>
        <v>52</v>
      </c>
      <c r="L127" s="60">
        <f>HLOOKUP(L4,'D&amp;V'!AK142:AT143,2,FALSE)</f>
        <v>54</v>
      </c>
      <c r="M127" s="60">
        <f>HLOOKUP(M4,'D&amp;V'!AL142:AU143,2,FALSE)</f>
        <v>45</v>
      </c>
      <c r="N127" s="60">
        <f>HLOOKUP(N4,'D&amp;V'!AM142:AV143,2,FALSE)</f>
        <v>43</v>
      </c>
      <c r="O127" s="60">
        <f>HLOOKUP(O4,'D&amp;V'!AN142:AW143,2,FALSE)</f>
        <v>48</v>
      </c>
      <c r="P127" s="60">
        <f>HLOOKUP(P4,'D&amp;V'!AO142:AW143,2,FALSE)</f>
        <v>47</v>
      </c>
      <c r="Q127" s="88"/>
      <c r="Z127" s="130"/>
      <c r="AA127" s="130"/>
      <c r="AB127" s="130"/>
      <c r="AC127" s="130"/>
    </row>
    <row r="128" spans="2:29" ht="7.5" customHeight="1" x14ac:dyDescent="0.25">
      <c r="B128" s="132"/>
      <c r="C128" s="1"/>
      <c r="Q128" s="84"/>
      <c r="Z128" s="130"/>
      <c r="AA128" s="130"/>
      <c r="AB128" s="130"/>
      <c r="AC128" s="130"/>
    </row>
    <row r="129" spans="2:29" x14ac:dyDescent="0.25">
      <c r="B129" s="132"/>
      <c r="C129" s="1" t="s">
        <v>0</v>
      </c>
      <c r="D129" s="134" t="s">
        <v>234</v>
      </c>
      <c r="E129" s="134"/>
      <c r="F129" s="134"/>
      <c r="G129" s="134" t="s">
        <v>279</v>
      </c>
      <c r="H129" s="134"/>
      <c r="I129" s="134"/>
      <c r="J129" s="134"/>
      <c r="K129" s="135" t="s">
        <v>268</v>
      </c>
      <c r="L129" s="135"/>
      <c r="M129" s="135"/>
      <c r="N129" s="145" t="str">
        <f>TEXT('D&amp;V'!AV6,"0,0")&amp;" ("&amp;TEXT('D&amp;V'!AV8,"dd-mmm")&amp;")"</f>
        <v>1,169 (03-Dec)</v>
      </c>
      <c r="O129" s="145"/>
      <c r="P129" s="145"/>
      <c r="Q129" s="89"/>
      <c r="Z129" s="130"/>
      <c r="AA129" s="130"/>
      <c r="AB129" s="130"/>
      <c r="AC129" s="130"/>
    </row>
    <row r="130" spans="2:29" ht="7.5" customHeight="1" x14ac:dyDescent="0.25">
      <c r="B130" s="132"/>
      <c r="Z130" s="130"/>
      <c r="AA130" s="130"/>
      <c r="AB130" s="130"/>
      <c r="AC130" s="130"/>
    </row>
    <row r="131" spans="2:29" ht="15" customHeight="1" x14ac:dyDescent="0.25">
      <c r="B131" s="132"/>
      <c r="C131" s="12" t="s">
        <v>14</v>
      </c>
      <c r="D131" s="126">
        <v>212.71428571428572</v>
      </c>
      <c r="E131" s="126">
        <v>211.14285714285714</v>
      </c>
      <c r="F131" s="126">
        <v>214.28571428571428</v>
      </c>
      <c r="G131" s="126">
        <v>148.71428571428572</v>
      </c>
      <c r="H131" s="126">
        <v>141.42857142857142</v>
      </c>
      <c r="I131" s="126">
        <v>125.71428571428571</v>
      </c>
      <c r="J131" s="126">
        <v>117.42857142857143</v>
      </c>
      <c r="K131" s="126">
        <v>143.71428571428572</v>
      </c>
      <c r="L131" s="126">
        <v>139.42857142857142</v>
      </c>
      <c r="M131" s="126">
        <v>160</v>
      </c>
      <c r="N131" s="126">
        <v>143.42857142857142</v>
      </c>
      <c r="O131" s="126">
        <v>157.71428571428572</v>
      </c>
      <c r="P131" s="126">
        <v>112.71428571428571</v>
      </c>
      <c r="Z131" s="130"/>
      <c r="AA131" s="130"/>
      <c r="AB131" s="130"/>
      <c r="AC131" s="130"/>
    </row>
    <row r="132" spans="2:29" x14ac:dyDescent="0.25">
      <c r="B132" s="132"/>
      <c r="C132" s="1" t="s">
        <v>234</v>
      </c>
      <c r="D132" s="14">
        <v>135.28571428571428</v>
      </c>
      <c r="E132" s="14">
        <v>106.85714285714286</v>
      </c>
      <c r="F132" s="14">
        <v>136</v>
      </c>
      <c r="G132" s="14">
        <v>112.71428571428571</v>
      </c>
      <c r="H132" s="14">
        <v>67.428571428571431</v>
      </c>
      <c r="I132" s="14">
        <v>130.71428571428572</v>
      </c>
      <c r="J132" s="14">
        <v>124.57142857142857</v>
      </c>
      <c r="K132" s="14">
        <v>106.71428571428571</v>
      </c>
      <c r="L132" s="14">
        <v>138</v>
      </c>
      <c r="M132" s="14">
        <v>155.42857142857142</v>
      </c>
      <c r="N132" s="14">
        <v>137.14285714285714</v>
      </c>
      <c r="O132" s="14">
        <v>114.42857142857143</v>
      </c>
      <c r="P132" s="14">
        <v>135.28571428571428</v>
      </c>
      <c r="Z132" s="130"/>
      <c r="AA132" s="130"/>
      <c r="AB132" s="130"/>
      <c r="AC132" s="130"/>
    </row>
    <row r="133" spans="2:29" ht="7.5" customHeight="1" x14ac:dyDescent="0.25">
      <c r="B133" s="132"/>
      <c r="C133" s="1"/>
      <c r="Z133" s="130"/>
      <c r="AA133" s="130"/>
      <c r="AB133" s="130"/>
      <c r="AC133" s="130"/>
    </row>
    <row r="134" spans="2:29" x14ac:dyDescent="0.25">
      <c r="B134" s="132"/>
      <c r="C134" s="16" t="s">
        <v>268</v>
      </c>
      <c r="D134" s="63">
        <f>IFERROR(VLOOKUP(D$4,'D&amp;V'!$BO$5:$BW$18,2,FALSE),"")</f>
        <v>171.42857142857142</v>
      </c>
      <c r="E134" s="63">
        <f>IFERROR(VLOOKUP(E$4,'D&amp;V'!$BO$5:$BW$18,2,FALSE),"")</f>
        <v>146.42857142857142</v>
      </c>
      <c r="F134" s="63">
        <f>IFERROR(VLOOKUP(F$4,'D&amp;V'!$BO$5:$BW$18,2,FALSE),"")</f>
        <v>138.57142857142858</v>
      </c>
      <c r="G134" s="63">
        <f>IFERROR(VLOOKUP(G$4,'D&amp;V'!$BO$5:$BW$18,2,FALSE),"")</f>
        <v>84.571428571428569</v>
      </c>
      <c r="H134" s="63">
        <f>IFERROR(VLOOKUP(H$4,'D&amp;V'!$BO$5:$BW$18,2,FALSE),"")</f>
        <v>74.571428571428569</v>
      </c>
      <c r="I134" s="63">
        <f>IFERROR(VLOOKUP(I$4,'D&amp;V'!$BO$5:$BW$18,2,FALSE),"")</f>
        <v>123.42857142857143</v>
      </c>
      <c r="J134" s="63">
        <f>IFERROR(VLOOKUP(J$4,'D&amp;V'!$BO$5:$BW$18,2,FALSE),"")</f>
        <v>99.571428571428569</v>
      </c>
      <c r="K134" s="63">
        <f>IFERROR(VLOOKUP(K$4,'D&amp;V'!$BO$5:$BW$18,2,FALSE),"")</f>
        <v>145.71428571428572</v>
      </c>
      <c r="L134" s="63">
        <f>IFERROR(VLOOKUP(L$4,'D&amp;V'!$BO$5:$BW$18,2,FALSE),"")</f>
        <v>146.14285714285714</v>
      </c>
      <c r="M134" s="63">
        <f>IFERROR(VLOOKUP(M$4,'D&amp;V'!$BO$5:$BW$18,2,FALSE),"")</f>
        <v>137.28571428571428</v>
      </c>
      <c r="N134" s="63">
        <f>IFERROR(VLOOKUP(N$4,'D&amp;V'!$BO$5:$BW$18,2,FALSE),"")</f>
        <v>125.57142857142857</v>
      </c>
      <c r="O134" s="63">
        <f>IFERROR(VLOOKUP(O$4,'D&amp;V'!$BO$5:$BW$18,2,FALSE),"")</f>
        <v>103.57142857142857</v>
      </c>
      <c r="P134" s="63">
        <f>IFERROR(VLOOKUP(P$4,'D&amp;V'!$BO$5:$BW$18,2,FALSE),"")</f>
        <v>125.71428571428571</v>
      </c>
      <c r="Q134" s="85" t="str">
        <f>IFERROR(VLOOKUP(Q$4,'D&amp;V'!$BO$5:$BV$19,2,FALSE),"")</f>
        <v/>
      </c>
      <c r="Z134" s="130"/>
      <c r="AA134" s="130"/>
      <c r="AB134" s="130"/>
      <c r="AC134" s="130"/>
    </row>
    <row r="135" spans="2:29" x14ac:dyDescent="0.25">
      <c r="B135" s="132"/>
      <c r="C135" s="1" t="s">
        <v>1</v>
      </c>
      <c r="D135" s="109">
        <f>IFERROR(VLOOKUP(D$4,'D&amp;V'!$BO$5:$BW$18,3,FALSE),"")</f>
        <v>14.571428571428571</v>
      </c>
      <c r="E135" s="109">
        <f>IFERROR(VLOOKUP(E$4,'D&amp;V'!$BO$5:$BW$18,3,FALSE),"")</f>
        <v>17</v>
      </c>
      <c r="F135" s="109">
        <f>IFERROR(VLOOKUP(F$4,'D&amp;V'!$BO$5:$BW$18,3,FALSE),"")</f>
        <v>21.285714285714285</v>
      </c>
      <c r="G135" s="109">
        <f>IFERROR(VLOOKUP(G$4,'D&amp;V'!$BO$5:$BW$18,3,FALSE),"")</f>
        <v>16.142857142857142</v>
      </c>
      <c r="H135" s="109">
        <f>IFERROR(VLOOKUP(H$4,'D&amp;V'!$BO$5:$BW$18,3,FALSE),"")</f>
        <v>10.285714285714286</v>
      </c>
      <c r="I135" s="109">
        <f>IFERROR(VLOOKUP(I$4,'D&amp;V'!$BO$5:$BW$18,3,FALSE),"")</f>
        <v>8</v>
      </c>
      <c r="J135" s="109">
        <f>IFERROR(VLOOKUP(J$4,'D&amp;V'!$BO$5:$BW$18,3,FALSE),"")</f>
        <v>5</v>
      </c>
      <c r="K135" s="109">
        <f>IFERROR(VLOOKUP(K$4,'D&amp;V'!$BO$5:$BW$18,3,FALSE),"")</f>
        <v>7.7142857142857144</v>
      </c>
      <c r="L135" s="109">
        <f>IFERROR(VLOOKUP(L$4,'D&amp;V'!$BO$5:$BW$18,3,FALSE),"")</f>
        <v>11.714285714285714</v>
      </c>
      <c r="M135" s="109">
        <f>IFERROR(VLOOKUP(M$4,'D&amp;V'!$BO$5:$BW$18,3,FALSE),"")</f>
        <v>14</v>
      </c>
      <c r="N135" s="109">
        <f>IFERROR(VLOOKUP(N$4,'D&amp;V'!$BO$5:$BW$18,3,FALSE),"")</f>
        <v>16.571428571428573</v>
      </c>
      <c r="O135" s="109">
        <f>IFERROR(VLOOKUP(O$4,'D&amp;V'!$BO$5:$BW$18,3,FALSE),"")</f>
        <v>10.285714285714286</v>
      </c>
      <c r="P135" s="109">
        <f>IFERROR(VLOOKUP(P$4,'D&amp;V'!$BO$5:$BW$18,3,FALSE),"")</f>
        <v>1</v>
      </c>
      <c r="Q135" s="90" t="str">
        <f>IFERROR(VLOOKUP(Q$4,'D&amp;V'!$BO$5:$BV$19,3,FALSE),"")</f>
        <v/>
      </c>
      <c r="Z135" s="130"/>
      <c r="AA135" s="130"/>
      <c r="AB135" s="130"/>
      <c r="AC135" s="130"/>
    </row>
    <row r="136" spans="2:29" x14ac:dyDescent="0.25">
      <c r="B136" s="132"/>
      <c r="C136" s="1" t="s">
        <v>241</v>
      </c>
      <c r="D136" s="109">
        <f>IFERROR(VLOOKUP(D$4,'D&amp;V'!$BO$5:$BW$18,4,FALSE),"")</f>
        <v>39.857142857142854</v>
      </c>
      <c r="E136" s="109">
        <f>IFERROR(VLOOKUP(E$4,'D&amp;V'!$BO$5:$BW$18,4,FALSE),"")</f>
        <v>24.571428571428573</v>
      </c>
      <c r="F136" s="109">
        <f>IFERROR(VLOOKUP(F$4,'D&amp;V'!$BO$5:$BW$18,4,FALSE),"")</f>
        <v>13.857142857142858</v>
      </c>
      <c r="G136" s="109">
        <f>IFERROR(VLOOKUP(G$4,'D&amp;V'!$BO$5:$BW$18,4,FALSE),"")</f>
        <v>7.5714285714285712</v>
      </c>
      <c r="H136" s="109">
        <f>IFERROR(VLOOKUP(H$4,'D&amp;V'!$BO$5:$BW$18,4,FALSE),"")</f>
        <v>10</v>
      </c>
      <c r="I136" s="109">
        <f>IFERROR(VLOOKUP(I$4,'D&amp;V'!$BO$5:$BW$18,4,FALSE),"")</f>
        <v>16</v>
      </c>
      <c r="J136" s="109">
        <f>IFERROR(VLOOKUP(J$4,'D&amp;V'!$BO$5:$BW$18,4,FALSE),"")</f>
        <v>11.285714285714286</v>
      </c>
      <c r="K136" s="109">
        <f>IFERROR(VLOOKUP(K$4,'D&amp;V'!$BO$5:$BW$18,4,FALSE),"")</f>
        <v>32.714285714285715</v>
      </c>
      <c r="L136" s="109">
        <f>IFERROR(VLOOKUP(L$4,'D&amp;V'!$BO$5:$BW$18,4,FALSE),"")</f>
        <v>18.285714285714285</v>
      </c>
      <c r="M136" s="109">
        <f>IFERROR(VLOOKUP(M$4,'D&amp;V'!$BO$5:$BW$18,4,FALSE),"")</f>
        <v>16.571428571428573</v>
      </c>
      <c r="N136" s="109">
        <f>IFERROR(VLOOKUP(N$4,'D&amp;V'!$BO$5:$BW$18,4,FALSE),"")</f>
        <v>22.285714285714285</v>
      </c>
      <c r="O136" s="109">
        <f>IFERROR(VLOOKUP(O$4,'D&amp;V'!$BO$5:$BW$18,4,FALSE),"")</f>
        <v>16</v>
      </c>
      <c r="P136" s="109">
        <f>IFERROR(VLOOKUP(P$4,'D&amp;V'!$BO$5:$BW$18,4,FALSE),"")</f>
        <v>31.857142857142858</v>
      </c>
      <c r="Q136" s="90" t="str">
        <f>IFERROR(VLOOKUP(Q$4,'D&amp;V'!$BO$5:$BV$19,4,FALSE),"")</f>
        <v/>
      </c>
      <c r="Z136" s="130"/>
      <c r="AA136" s="130"/>
      <c r="AB136" s="130"/>
      <c r="AC136" s="130"/>
    </row>
    <row r="137" spans="2:29" x14ac:dyDescent="0.25">
      <c r="B137" s="132"/>
      <c r="C137" s="1" t="s">
        <v>281</v>
      </c>
      <c r="D137" s="109">
        <f>IFERROR(VLOOKUP(D$4,'D&amp;V'!$BO$5:$BW$18,8,FALSE),"")</f>
        <v>5.7142857142857144</v>
      </c>
      <c r="E137" s="109">
        <f>IFERROR(VLOOKUP(E$4,'D&amp;V'!$BO$5:$BW$18,8,FALSE),"")</f>
        <v>16.714285714285715</v>
      </c>
      <c r="F137" s="109">
        <f>IFERROR(VLOOKUP(F$4,'D&amp;V'!$BO$5:$BW$18,8,FALSE),"")</f>
        <v>17.857142857142858</v>
      </c>
      <c r="G137" s="109">
        <f>IFERROR(VLOOKUP(G$4,'D&amp;V'!$BO$5:$BW$18,8,FALSE),"")</f>
        <v>7.1428571428571432</v>
      </c>
      <c r="H137" s="109">
        <f>IFERROR(VLOOKUP(H$4,'D&amp;V'!$BO$5:$BW$18,8,FALSE),"")</f>
        <v>14.142857142857142</v>
      </c>
      <c r="I137" s="109">
        <f>IFERROR(VLOOKUP(I$4,'D&amp;V'!$BO$5:$BW$18,8,FALSE),"")</f>
        <v>14.285714285714286</v>
      </c>
      <c r="J137" s="109">
        <f>IFERROR(VLOOKUP(J$4,'D&amp;V'!$BO$5:$BW$18,8,FALSE),"")</f>
        <v>16.285714285714285</v>
      </c>
      <c r="K137" s="109">
        <f>IFERROR(VLOOKUP(K$4,'D&amp;V'!$BO$5:$BW$18,8,FALSE),"")</f>
        <v>18.142857142857142</v>
      </c>
      <c r="L137" s="109">
        <f>IFERROR(VLOOKUP(L$4,'D&amp;V'!$BO$5:$BW$18,8,FALSE),"")</f>
        <v>32.142857142857146</v>
      </c>
      <c r="M137" s="109">
        <f>IFERROR(VLOOKUP(M$4,'D&amp;V'!$BO$5:$BW$18,8,FALSE),"")</f>
        <v>34.857142857142854</v>
      </c>
      <c r="N137" s="109">
        <f>IFERROR(VLOOKUP(N$4,'D&amp;V'!$BO$5:$BW$18,8,FALSE),"")</f>
        <v>27.142857142857142</v>
      </c>
      <c r="O137" s="109">
        <f>IFERROR(VLOOKUP(O$4,'D&amp;V'!$BO$5:$BW$18,8,FALSE),"")</f>
        <v>23</v>
      </c>
      <c r="P137" s="109">
        <f>IFERROR(VLOOKUP(P$4,'D&amp;V'!$BO$5:$BW$18,8,FALSE),"")</f>
        <v>22.857142857142858</v>
      </c>
      <c r="Q137" s="90"/>
      <c r="Z137" s="130"/>
      <c r="AA137" s="130"/>
      <c r="AB137" s="130"/>
      <c r="AC137" s="130"/>
    </row>
    <row r="138" spans="2:29" x14ac:dyDescent="0.25">
      <c r="B138" s="132"/>
      <c r="C138" s="1" t="s">
        <v>282</v>
      </c>
      <c r="D138" s="109">
        <f>IFERROR(VLOOKUP(D$4,'D&amp;V'!$BO$5:$BW$18,5,FALSE),"")</f>
        <v>37.142857142857146</v>
      </c>
      <c r="E138" s="109">
        <f>IFERROR(VLOOKUP(E$4,'D&amp;V'!$BO$5:$BW$18,5,FALSE),"")</f>
        <v>16.428571428571427</v>
      </c>
      <c r="F138" s="109">
        <f>IFERROR(VLOOKUP(F$4,'D&amp;V'!$BO$5:$BW$18,5,FALSE),"")</f>
        <v>17.714285714285715</v>
      </c>
      <c r="G138" s="109">
        <f>IFERROR(VLOOKUP(G$4,'D&amp;V'!$BO$5:$BW$18,5,FALSE),"")</f>
        <v>16.571428571428573</v>
      </c>
      <c r="H138" s="109">
        <f>IFERROR(VLOOKUP(H$4,'D&amp;V'!$BO$5:$BW$18,5,FALSE),"")</f>
        <v>6.8571428571428568</v>
      </c>
      <c r="I138" s="109">
        <f>IFERROR(VLOOKUP(I$4,'D&amp;V'!$BO$5:$BW$18,5,FALSE),"")</f>
        <v>23.428571428571427</v>
      </c>
      <c r="J138" s="109">
        <f>IFERROR(VLOOKUP(J$4,'D&amp;V'!$BO$5:$BW$18,5,FALSE),"")</f>
        <v>21.571428571428573</v>
      </c>
      <c r="K138" s="109">
        <f>IFERROR(VLOOKUP(K$4,'D&amp;V'!$BO$5:$BW$18,5,FALSE),"")</f>
        <v>20.428571428571427</v>
      </c>
      <c r="L138" s="109">
        <f>IFERROR(VLOOKUP(L$4,'D&amp;V'!$BO$5:$BW$18,5,FALSE),"")</f>
        <v>21.285714285714285</v>
      </c>
      <c r="M138" s="109">
        <f>IFERROR(VLOOKUP(M$4,'D&amp;V'!$BO$5:$BW$18,5,FALSE),"")</f>
        <v>24.428571428571427</v>
      </c>
      <c r="N138" s="109">
        <f>IFERROR(VLOOKUP(N$4,'D&amp;V'!$BO$5:$BW$18,5,FALSE),"")</f>
        <v>14.714285714285714</v>
      </c>
      <c r="O138" s="109">
        <f>IFERROR(VLOOKUP(O$4,'D&amp;V'!$BO$5:$BW$18,5,FALSE),"")</f>
        <v>17.714285714285715</v>
      </c>
      <c r="P138" s="109">
        <f>IFERROR(VLOOKUP(P$4,'D&amp;V'!$BO$5:$BW$18,5,FALSE),"")</f>
        <v>35.428571428571431</v>
      </c>
      <c r="Q138" s="90"/>
      <c r="Z138" s="130"/>
      <c r="AA138" s="130"/>
      <c r="AB138" s="130"/>
      <c r="AC138" s="130"/>
    </row>
    <row r="139" spans="2:29" x14ac:dyDescent="0.25">
      <c r="B139" s="132"/>
      <c r="C139" s="1" t="s">
        <v>284</v>
      </c>
      <c r="D139" s="109">
        <f>IFERROR(VLOOKUP(D$4,'D&amp;V'!$BO$5:$BW$18,9,FALSE),"")</f>
        <v>42.285714285714285</v>
      </c>
      <c r="E139" s="109">
        <f>IFERROR(VLOOKUP(E$4,'D&amp;V'!$BO$5:$BW$18,9,FALSE),"")</f>
        <v>31.428571428571427</v>
      </c>
      <c r="F139" s="109">
        <f>IFERROR(VLOOKUP(F$4,'D&amp;V'!$BO$5:$BW$18,9,FALSE),"")</f>
        <v>29.571428571428573</v>
      </c>
      <c r="G139" s="109">
        <f>IFERROR(VLOOKUP(G$4,'D&amp;V'!$BO$5:$BW$18,9,FALSE),"")</f>
        <v>22.285714285714285</v>
      </c>
      <c r="H139" s="109">
        <f>IFERROR(VLOOKUP(H$4,'D&amp;V'!$BO$5:$BW$18,9,FALSE),"")</f>
        <v>7.7142857142857144</v>
      </c>
      <c r="I139" s="109">
        <f>IFERROR(VLOOKUP(I$4,'D&amp;V'!$BO$5:$BW$18,9,FALSE),"")</f>
        <v>2.1428571428571428</v>
      </c>
      <c r="J139" s="109">
        <f>IFERROR(VLOOKUP(J$4,'D&amp;V'!$BO$5:$BW$18,9,FALSE),"")</f>
        <v>3</v>
      </c>
      <c r="K139" s="109">
        <f>IFERROR(VLOOKUP(K$4,'D&amp;V'!$BO$5:$BW$18,9,FALSE),"")</f>
        <v>3.1428571428571428</v>
      </c>
      <c r="L139" s="109">
        <f>IFERROR(VLOOKUP(L$4,'D&amp;V'!$BO$5:$BW$18,9,FALSE),"")</f>
        <v>3.1428571428571428</v>
      </c>
      <c r="M139" s="109">
        <f>IFERROR(VLOOKUP(M$4,'D&amp;V'!$BO$5:$BW$18,9,FALSE),"")</f>
        <v>3</v>
      </c>
      <c r="N139" s="109">
        <f>IFERROR(VLOOKUP(N$4,'D&amp;V'!$BO$5:$BW$18,9,FALSE),"")</f>
        <v>1.7142857142857142</v>
      </c>
      <c r="O139" s="109">
        <f>IFERROR(VLOOKUP(O$4,'D&amp;V'!$BO$5:$BW$18,9,FALSE),"")</f>
        <v>3</v>
      </c>
      <c r="P139" s="109">
        <f>IFERROR(VLOOKUP(P$4,'D&amp;V'!$BO$5:$BW$18,9,FALSE),"")</f>
        <v>5.7142857142857144</v>
      </c>
      <c r="Q139" s="90" t="str">
        <f>IFERROR(VLOOKUP(Q$4,'D&amp;V'!$BO$5:$BV$19,5,FALSE),"")</f>
        <v/>
      </c>
      <c r="Z139" s="130"/>
      <c r="AA139" s="130"/>
      <c r="AB139" s="130"/>
      <c r="AC139" s="130"/>
    </row>
    <row r="140" spans="2:29" x14ac:dyDescent="0.25">
      <c r="B140" s="132"/>
      <c r="C140" s="1" t="s">
        <v>238</v>
      </c>
      <c r="D140" s="109">
        <f>IFERROR(VLOOKUP(D$4,'D&amp;V'!$BO$5:$BW$18,6,FALSE),"")</f>
        <v>5.2857142857142856</v>
      </c>
      <c r="E140" s="109">
        <f>IFERROR(VLOOKUP(E$4,'D&amp;V'!$BO$5:$BW$18,6,FALSE),"")</f>
        <v>8.4285714285714288</v>
      </c>
      <c r="F140" s="109">
        <f>IFERROR(VLOOKUP(F$4,'D&amp;V'!$BO$5:$BW$18,6,FALSE),"")</f>
        <v>7.5714285714285712</v>
      </c>
      <c r="G140" s="109">
        <f>IFERROR(VLOOKUP(G$4,'D&amp;V'!$BO$5:$BW$18,6,FALSE),"")</f>
        <v>3</v>
      </c>
      <c r="H140" s="109">
        <f>IFERROR(VLOOKUP(H$4,'D&amp;V'!$BO$5:$BW$18,6,FALSE),"")</f>
        <v>10.714285714285714</v>
      </c>
      <c r="I140" s="109">
        <f>IFERROR(VLOOKUP(I$4,'D&amp;V'!$BO$5:$BW$18,6,FALSE),"")</f>
        <v>35</v>
      </c>
      <c r="J140" s="109">
        <f>IFERROR(VLOOKUP(J$4,'D&amp;V'!$BO$5:$BW$18,6,FALSE),"")</f>
        <v>31.714285714285715</v>
      </c>
      <c r="K140" s="109">
        <f>IFERROR(VLOOKUP(K$4,'D&amp;V'!$BO$5:$BW$18,6,FALSE),"")</f>
        <v>51</v>
      </c>
      <c r="L140" s="109">
        <f>IFERROR(VLOOKUP(L$4,'D&amp;V'!$BO$5:$BW$18,6,FALSE),"")</f>
        <v>31.857142857142858</v>
      </c>
      <c r="M140" s="109">
        <f>IFERROR(VLOOKUP(M$4,'D&amp;V'!$BO$5:$BW$18,6,FALSE),"")</f>
        <v>25.142857142857142</v>
      </c>
      <c r="N140" s="109">
        <f>IFERROR(VLOOKUP(N$4,'D&amp;V'!$BO$5:$BW$18,6,FALSE),"")</f>
        <v>12.857142857142858</v>
      </c>
      <c r="O140" s="109">
        <f>IFERROR(VLOOKUP(O$4,'D&amp;V'!$BO$5:$BW$18,6,FALSE),"")</f>
        <v>8</v>
      </c>
      <c r="P140" s="109">
        <f>IFERROR(VLOOKUP(P$4,'D&amp;V'!$BO$5:$BW$18,6,FALSE),"")</f>
        <v>17.571428571428573</v>
      </c>
      <c r="Q140" s="90" t="str">
        <f>IFERROR(VLOOKUP(Q$4,'D&amp;V'!$BO$5:$BV$19,6,FALSE),"")</f>
        <v/>
      </c>
      <c r="Z140" s="130"/>
      <c r="AA140" s="130"/>
      <c r="AB140" s="130"/>
      <c r="AC140" s="130"/>
    </row>
    <row r="141" spans="2:29" x14ac:dyDescent="0.25">
      <c r="B141" s="132"/>
      <c r="C141" s="11" t="s">
        <v>239</v>
      </c>
      <c r="D141" s="109">
        <f>IFERROR(VLOOKUP(D$4,'D&amp;V'!$BO$5:$BW$18,7,FALSE),"")</f>
        <v>26.571428571428573</v>
      </c>
      <c r="E141" s="109">
        <f>IFERROR(VLOOKUP(E$4,'D&amp;V'!$BO$5:$BW$18,7,FALSE),"")</f>
        <v>31.857142857142858</v>
      </c>
      <c r="F141" s="109">
        <f>IFERROR(VLOOKUP(F$4,'D&amp;V'!$BO$5:$BW$18,7,FALSE),"")</f>
        <v>30.714285714285715</v>
      </c>
      <c r="G141" s="109">
        <f>IFERROR(VLOOKUP(G$4,'D&amp;V'!$BO$5:$BW$18,7,FALSE),"")</f>
        <v>11.857142857142858</v>
      </c>
      <c r="H141" s="109">
        <f>IFERROR(VLOOKUP(H$4,'D&amp;V'!$BO$5:$BW$18,7,FALSE),"")</f>
        <v>14.857142857142858</v>
      </c>
      <c r="I141" s="109">
        <f>IFERROR(VLOOKUP(I$4,'D&amp;V'!$BO$5:$BW$18,7,FALSE),"")</f>
        <v>24.571428571428573</v>
      </c>
      <c r="J141" s="109">
        <f>IFERROR(VLOOKUP(J$4,'D&amp;V'!$BO$5:$BW$18,7,FALSE),"")</f>
        <v>10.714285714285714</v>
      </c>
      <c r="K141" s="109">
        <f>IFERROR(VLOOKUP(K$4,'D&amp;V'!$BO$5:$BW$18,7,FALSE),"")</f>
        <v>12.571428571428571</v>
      </c>
      <c r="L141" s="109">
        <f>IFERROR(VLOOKUP(L$4,'D&amp;V'!$BO$5:$BW$18,7,FALSE),"")</f>
        <v>27.714285714285715</v>
      </c>
      <c r="M141" s="109">
        <f>IFERROR(VLOOKUP(M$4,'D&amp;V'!$BO$5:$BW$18,7,FALSE),"")</f>
        <v>19.285714285714285</v>
      </c>
      <c r="N141" s="109">
        <f>IFERROR(VLOOKUP(N$4,'D&amp;V'!$BO$5:$BW$18,7,FALSE),"")</f>
        <v>30.285714285714285</v>
      </c>
      <c r="O141" s="109">
        <f>IFERROR(VLOOKUP(O$4,'D&amp;V'!$BO$5:$BW$18,7,FALSE),"")</f>
        <v>25.571428571428573</v>
      </c>
      <c r="P141" s="109">
        <f>IFERROR(VLOOKUP(P$4,'D&amp;V'!$BO$5:$BW$18,7,FALSE),"")</f>
        <v>11.285714285714286</v>
      </c>
      <c r="Q141" s="90" t="str">
        <f>IFERROR(VLOOKUP(Q$4,'D&amp;V'!$BO$5:$BV$19,7,FALSE),"")</f>
        <v/>
      </c>
      <c r="Z141" s="130"/>
      <c r="AA141" s="130"/>
      <c r="AB141" s="130"/>
      <c r="AC141" s="130"/>
    </row>
    <row r="142" spans="2:29" ht="7.5" customHeight="1" x14ac:dyDescent="0.25">
      <c r="B142" s="132"/>
      <c r="Z142" s="130"/>
      <c r="AA142" s="130"/>
      <c r="AB142" s="130"/>
      <c r="AC142" s="130"/>
    </row>
    <row r="143" spans="2:29" x14ac:dyDescent="0.25">
      <c r="B143" s="132"/>
      <c r="C143" s="11" t="s">
        <v>31</v>
      </c>
      <c r="D143" s="60">
        <f>IFERROR(HLOOKUP(D$4,'D&amp;V'!CA143:CN144,2,FALSE),"")</f>
        <v>47</v>
      </c>
      <c r="E143" s="60">
        <f>IFERROR(HLOOKUP(E$4,'D&amp;V'!CB143:CO144,2,FALSE),"")</f>
        <v>42</v>
      </c>
      <c r="F143" s="60">
        <f>IFERROR(HLOOKUP(F$4,'D&amp;V'!CC143:CP144,2,FALSE),"")</f>
        <v>41</v>
      </c>
      <c r="G143" s="60">
        <f>IFERROR(HLOOKUP(G$4,'D&amp;V'!CD143:CP144,2,FALSE),"")</f>
        <v>45</v>
      </c>
      <c r="H143" s="60">
        <f>IFERROR(HLOOKUP(H$4,'D&amp;V'!CE143:CP144,2,FALSE),"")</f>
        <v>41</v>
      </c>
      <c r="I143" s="60">
        <f>IFERROR(HLOOKUP(I$4,'D&amp;V'!CF143:CP144,2,FALSE),"")</f>
        <v>49</v>
      </c>
      <c r="J143" s="60">
        <f>IFERROR(HLOOKUP(J$4,'D&amp;V'!CG143:CP144,2,FALSE),"")</f>
        <v>44</v>
      </c>
      <c r="K143" s="60">
        <f>IFERROR(HLOOKUP(K$4,'D&amp;V'!CH143:CQ144,2,FALSE),"")</f>
        <v>37</v>
      </c>
      <c r="L143" s="60">
        <f>IFERROR(HLOOKUP(L$4,'D&amp;V'!CI143:CR144,2,FALSE),"")</f>
        <v>43</v>
      </c>
      <c r="M143" s="60">
        <f>IFERROR(HLOOKUP(M$4,'D&amp;V'!CJ143:CS144,2,FALSE),"")</f>
        <v>45</v>
      </c>
      <c r="N143" s="60">
        <f>IFERROR(HLOOKUP(N$4,'D&amp;V'!CK143:CT144,2,FALSE),"")</f>
        <v>43</v>
      </c>
      <c r="O143" s="60">
        <f>IFERROR(HLOOKUP(O$4,'D&amp;V'!CL143:CU144,2,FALSE),"")</f>
        <v>43</v>
      </c>
      <c r="P143" s="60">
        <f>IFERROR(HLOOKUP(P$4,'D&amp;V'!CM143:CV144,2,FALSE),"")</f>
        <v>44</v>
      </c>
      <c r="Q143" s="88" t="str">
        <f>IFERROR(HLOOKUP(Q$4,'D&amp;V'!CN143:CW144,2,FALSE),"")</f>
        <v/>
      </c>
      <c r="Z143" s="130"/>
      <c r="AA143" s="130"/>
      <c r="AB143" s="130"/>
      <c r="AC143" s="130"/>
    </row>
    <row r="144" spans="2:29" ht="7.5" customHeight="1" x14ac:dyDescent="0.25">
      <c r="B144" s="132"/>
      <c r="C144" s="1"/>
      <c r="Z144" s="130"/>
      <c r="AA144" s="130"/>
      <c r="AB144" s="130"/>
      <c r="AC144" s="130"/>
    </row>
    <row r="145" spans="2:29" x14ac:dyDescent="0.25">
      <c r="B145" s="132"/>
      <c r="C145" s="1" t="s">
        <v>0</v>
      </c>
      <c r="D145" s="134" t="s">
        <v>234</v>
      </c>
      <c r="E145" s="134"/>
      <c r="F145" s="134"/>
      <c r="G145" s="134" t="s">
        <v>280</v>
      </c>
      <c r="H145" s="134"/>
      <c r="I145" s="134"/>
      <c r="J145" s="134"/>
      <c r="K145" s="135" t="s">
        <v>268</v>
      </c>
      <c r="L145" s="135"/>
      <c r="M145" s="135"/>
      <c r="N145" s="146" t="str">
        <f>TEXT('D&amp;V'!CU6,"0,0")&amp;" ("&amp;TEXT('D&amp;V'!CU8,"dd-mmm")&amp;")"</f>
        <v>203 (06-Dec)</v>
      </c>
      <c r="O145" s="147"/>
      <c r="P145" s="148"/>
      <c r="Q145" s="89"/>
      <c r="Z145" s="130"/>
      <c r="AA145" s="130"/>
      <c r="AB145" s="130"/>
      <c r="AC145" s="130"/>
    </row>
    <row r="146" spans="2:29" ht="30" customHeight="1" x14ac:dyDescent="0.25">
      <c r="C146" s="1"/>
    </row>
    <row r="147" spans="2:29" ht="15" customHeight="1" x14ac:dyDescent="0.25">
      <c r="B147" s="132" t="s">
        <v>15</v>
      </c>
      <c r="C147" s="12" t="s">
        <v>17</v>
      </c>
      <c r="D147" s="127">
        <v>0.8630408583757726</v>
      </c>
      <c r="E147" s="127">
        <v>0.85207585453410328</v>
      </c>
      <c r="F147" s="127">
        <v>0.82160617095422683</v>
      </c>
      <c r="G147" s="127">
        <v>0.81886438291881747</v>
      </c>
      <c r="H147" s="127">
        <v>0.86804004620716213</v>
      </c>
      <c r="I147" s="127">
        <v>0.86891241578440803</v>
      </c>
      <c r="J147" s="127">
        <v>0.86613281249999996</v>
      </c>
      <c r="K147" s="127">
        <v>0.85156464183605529</v>
      </c>
      <c r="L147" s="127">
        <v>0.85008205048058139</v>
      </c>
      <c r="M147" s="127">
        <v>0.8552100082356171</v>
      </c>
      <c r="N147" s="127">
        <v>0.84721788058768366</v>
      </c>
      <c r="O147" s="127">
        <v>0.8570925041121642</v>
      </c>
      <c r="P147" s="127">
        <v>0.8521715141483408</v>
      </c>
      <c r="Q147" s="3"/>
      <c r="R147" s="3"/>
      <c r="Z147" s="133" t="s">
        <v>32</v>
      </c>
      <c r="AA147" s="133"/>
      <c r="AB147" s="133"/>
      <c r="AC147" s="133"/>
    </row>
    <row r="148" spans="2:29" x14ac:dyDescent="0.25">
      <c r="B148" s="132"/>
      <c r="C148" s="1" t="s">
        <v>234</v>
      </c>
      <c r="D148" s="7">
        <v>0.8214008988067566</v>
      </c>
      <c r="E148" s="7">
        <v>0.81303841676367872</v>
      </c>
      <c r="F148" s="7">
        <v>0.80945519685346001</v>
      </c>
      <c r="G148" s="7">
        <v>0.76777882205513781</v>
      </c>
      <c r="H148" s="7">
        <v>0.832857422256992</v>
      </c>
      <c r="I148" s="7">
        <v>0.8522935422268989</v>
      </c>
      <c r="J148" s="7">
        <v>0.85241907413853113</v>
      </c>
      <c r="K148" s="7">
        <v>0.85280763708331719</v>
      </c>
      <c r="L148" s="7">
        <v>0.85627029534560073</v>
      </c>
      <c r="M148" s="7">
        <v>0.85657153950689191</v>
      </c>
      <c r="N148" s="7">
        <v>0.85114622057001244</v>
      </c>
      <c r="O148" s="7">
        <v>0.833916355721393</v>
      </c>
      <c r="P148" s="7">
        <v>0.82496897300651562</v>
      </c>
      <c r="Z148" s="133"/>
      <c r="AA148" s="133"/>
      <c r="AB148" s="133"/>
      <c r="AC148" s="133"/>
    </row>
    <row r="149" spans="2:29" ht="7.5" customHeight="1" x14ac:dyDescent="0.25">
      <c r="B149" s="132"/>
      <c r="C149" s="1"/>
      <c r="D149" s="31">
        <v>0.85</v>
      </c>
      <c r="E149" s="31">
        <v>0.85</v>
      </c>
      <c r="F149" s="31">
        <v>0.85</v>
      </c>
      <c r="G149" s="31">
        <v>0.85</v>
      </c>
      <c r="H149" s="31">
        <v>0.85</v>
      </c>
      <c r="I149" s="31">
        <v>0.85</v>
      </c>
      <c r="J149" s="31">
        <v>0.85</v>
      </c>
      <c r="K149" s="31">
        <v>0.85</v>
      </c>
      <c r="L149" s="31">
        <v>0.85</v>
      </c>
      <c r="M149" s="31">
        <v>0.85</v>
      </c>
      <c r="N149" s="31">
        <v>0.85</v>
      </c>
      <c r="O149" s="31">
        <v>0.85</v>
      </c>
      <c r="P149" s="31">
        <v>0.85</v>
      </c>
      <c r="Q149" s="31">
        <v>0.85</v>
      </c>
      <c r="Z149" s="133"/>
      <c r="AA149" s="133"/>
      <c r="AB149" s="133"/>
      <c r="AC149" s="133"/>
    </row>
    <row r="150" spans="2:29" x14ac:dyDescent="0.25">
      <c r="B150" s="132"/>
      <c r="C150" s="16" t="s">
        <v>268</v>
      </c>
      <c r="D150" s="64">
        <f>IFERROR(VLOOKUP(D$4,'Critical care'!$AB$3:$AJ$16,2,FALSE),"")</f>
        <v>0.83083453405506447</v>
      </c>
      <c r="E150" s="64">
        <f>IFERROR(VLOOKUP(E$4,'Critical care'!$AB$3:$AJ$16,2,FALSE),"")</f>
        <v>0.83786411542799366</v>
      </c>
      <c r="F150" s="64">
        <f>IFERROR(VLOOKUP(F$4,'Critical care'!$AB$3:$AJ$16,2,FALSE),"")</f>
        <v>0.8412383177570093</v>
      </c>
      <c r="G150" s="64">
        <f>IFERROR(VLOOKUP(G$4,'Critical care'!$AB$3:$AJ$16,2,FALSE),"")</f>
        <v>0.78613350027388684</v>
      </c>
      <c r="H150" s="64">
        <f>IFERROR(VLOOKUP(H$4,'Critical care'!$AB$3:$AJ$16,2,FALSE),"")</f>
        <v>0.82354774613316706</v>
      </c>
      <c r="I150" s="64">
        <f>IFERROR(VLOOKUP(I$4,'Critical care'!$AB$3:$AJ$16,2,FALSE),"")</f>
        <v>0.84481688392302923</v>
      </c>
      <c r="J150" s="64">
        <f>IFERROR(VLOOKUP(J$4,'Critical care'!$AB$3:$AJ$16,2,FALSE),"")</f>
        <v>0.83203883495145636</v>
      </c>
      <c r="K150" s="64">
        <f>IFERROR(VLOOKUP(K$4,'Critical care'!$AB$3:$AJ$16,2,FALSE),"")</f>
        <v>0.81908099688473524</v>
      </c>
      <c r="L150" s="64">
        <f>IFERROR(VLOOKUP(L$4,'Critical care'!$AB$3:$AJ$16,2,FALSE),"")</f>
        <v>0.82227857978930941</v>
      </c>
      <c r="M150" s="64">
        <f>IFERROR(VLOOKUP(M$4,'Critical care'!$AB$3:$AJ$16,2,FALSE),"")</f>
        <v>0.81373885275906388</v>
      </c>
      <c r="N150" s="64">
        <f>IFERROR(VLOOKUP(N$4,'Critical care'!$AB$3:$AJ$16,2,FALSE),"")</f>
        <v>0.81617332451670621</v>
      </c>
      <c r="O150" s="64">
        <f>IFERROR(VLOOKUP(O$4,'Critical care'!$AB$3:$AJ$16,2,FALSE),"")</f>
        <v>0.81046031622400494</v>
      </c>
      <c r="P150" s="64">
        <f>IFERROR(VLOOKUP(P$4,'Critical care'!$AB$3:$AJ$16,2,FALSE),"")</f>
        <v>0.81750175329229335</v>
      </c>
      <c r="Q150" s="91" t="str">
        <f>IFERROR(VLOOKUP(Q$4,'Critical care'!$AB$3:$AI$17,2,FALSE),"")</f>
        <v/>
      </c>
      <c r="Z150" s="133"/>
      <c r="AA150" s="133"/>
      <c r="AB150" s="133"/>
      <c r="AC150" s="133"/>
    </row>
    <row r="151" spans="2:29" ht="15" customHeight="1" x14ac:dyDescent="0.25">
      <c r="B151" s="132"/>
      <c r="C151" s="1" t="s">
        <v>1</v>
      </c>
      <c r="D151" s="110">
        <f>IFERROR(VLOOKUP(D$4,'Critical care'!$AB$3:$AJ$16,3,FALSE),"")</f>
        <v>0.90016700686583784</v>
      </c>
      <c r="E151" s="110">
        <f>IFERROR(VLOOKUP(E$4,'Critical care'!$AB$3:$AJ$16,3,FALSE),"")</f>
        <v>0.90360777058279373</v>
      </c>
      <c r="F151" s="110">
        <f>IFERROR(VLOOKUP(F$4,'Critical care'!$AB$3:$AJ$16,3,FALSE),"")</f>
        <v>0.90338700721821208</v>
      </c>
      <c r="G151" s="110">
        <f>IFERROR(VLOOKUP(G$4,'Critical care'!$AB$3:$AJ$16,3,FALSE),"")</f>
        <v>0.84710667406174889</v>
      </c>
      <c r="H151" s="110">
        <f>IFERROR(VLOOKUP(H$4,'Critical care'!$AB$3:$AJ$16,3,FALSE),"")</f>
        <v>0.85809682804674459</v>
      </c>
      <c r="I151" s="110">
        <f>IFERROR(VLOOKUP(I$4,'Critical care'!$AB$3:$AJ$16,3,FALSE),"")</f>
        <v>0.89439970717423134</v>
      </c>
      <c r="J151" s="110">
        <f>IFERROR(VLOOKUP(J$4,'Critical care'!$AB$3:$AJ$16,3,FALSE),"")</f>
        <v>0.89816176470588238</v>
      </c>
      <c r="K151" s="110">
        <f>IFERROR(VLOOKUP(K$4,'Critical care'!$AB$3:$AJ$16,3,FALSE),"")</f>
        <v>0.88672305994851053</v>
      </c>
      <c r="L151" s="110">
        <f>IFERROR(VLOOKUP(L$4,'Critical care'!$AB$3:$AJ$16,3,FALSE),"")</f>
        <v>0.88028039107175793</v>
      </c>
      <c r="M151" s="110">
        <f>IFERROR(VLOOKUP(M$4,'Critical care'!$AB$3:$AJ$16,3,FALSE),"")</f>
        <v>0.85373961218836569</v>
      </c>
      <c r="N151" s="110">
        <f>IFERROR(VLOOKUP(N$4,'Critical care'!$AB$3:$AJ$16,3,FALSE),"")</f>
        <v>0.89415857901483242</v>
      </c>
      <c r="O151" s="110">
        <f>IFERROR(VLOOKUP(O$4,'Critical care'!$AB$3:$AJ$16,3,FALSE),"")</f>
        <v>0.87127620448694376</v>
      </c>
      <c r="P151" s="110">
        <f>IFERROR(VLOOKUP(P$4,'Critical care'!$AB$3:$AJ$16,3,FALSE),"")</f>
        <v>0.88789737869492469</v>
      </c>
      <c r="Q151" s="92" t="str">
        <f>IFERROR(VLOOKUP(Q$4,'Critical care'!$AB$3:$AI$17,3,FALSE),"")</f>
        <v/>
      </c>
      <c r="Z151" s="130" t="s">
        <v>271</v>
      </c>
      <c r="AA151" s="130"/>
      <c r="AB151" s="130"/>
      <c r="AC151" s="130"/>
    </row>
    <row r="152" spans="2:29" x14ac:dyDescent="0.25">
      <c r="B152" s="132"/>
      <c r="C152" s="1" t="s">
        <v>241</v>
      </c>
      <c r="D152" s="110">
        <f>IFERROR(VLOOKUP(D$4,'Critical care'!$AB$3:$AJ$16,4,FALSE),"")</f>
        <v>0.83240843507214202</v>
      </c>
      <c r="E152" s="110">
        <f>IFERROR(VLOOKUP(E$4,'Critical care'!$AB$3:$AJ$16,4,FALSE),"")</f>
        <v>0.83644030181979578</v>
      </c>
      <c r="F152" s="110">
        <f>IFERROR(VLOOKUP(F$4,'Critical care'!$AB$3:$AJ$16,4,FALSE),"")</f>
        <v>0.84322881921280857</v>
      </c>
      <c r="G152" s="110">
        <f>IFERROR(VLOOKUP(G$4,'Critical care'!$AB$3:$AJ$16,4,FALSE),"")</f>
        <v>0.78645364536453644</v>
      </c>
      <c r="H152" s="110">
        <f>IFERROR(VLOOKUP(H$4,'Critical care'!$AB$3:$AJ$16,4,FALSE),"")</f>
        <v>0.82043956043956046</v>
      </c>
      <c r="I152" s="110">
        <f>IFERROR(VLOOKUP(I$4,'Critical care'!$AB$3:$AJ$16,4,FALSE),"")</f>
        <v>0.84301170236255241</v>
      </c>
      <c r="J152" s="110">
        <f>IFERROR(VLOOKUP(J$4,'Critical care'!$AB$3:$AJ$16,4,FALSE),"")</f>
        <v>0.80450132391879969</v>
      </c>
      <c r="K152" s="110">
        <f>IFERROR(VLOOKUP(K$4,'Critical care'!$AB$3:$AJ$16,4,FALSE),"")</f>
        <v>0.80796617712505558</v>
      </c>
      <c r="L152" s="110">
        <f>IFERROR(VLOOKUP(L$4,'Critical care'!$AB$3:$AJ$16,4,FALSE),"")</f>
        <v>0.82107623318385647</v>
      </c>
      <c r="M152" s="110">
        <f>IFERROR(VLOOKUP(M$4,'Critical care'!$AB$3:$AJ$16,4,FALSE),"")</f>
        <v>0.81771871539313401</v>
      </c>
      <c r="N152" s="110">
        <f>IFERROR(VLOOKUP(N$4,'Critical care'!$AB$3:$AJ$16,4,FALSE),"")</f>
        <v>0.81040231162480547</v>
      </c>
      <c r="O152" s="110">
        <f>IFERROR(VLOOKUP(O$4,'Critical care'!$AB$3:$AJ$16,4,FALSE),"")</f>
        <v>0.81163927143491776</v>
      </c>
      <c r="P152" s="110">
        <f>IFERROR(VLOOKUP(P$4,'Critical care'!$AB$3:$AJ$16,4,FALSE),"")</f>
        <v>0.80673013061766663</v>
      </c>
      <c r="Q152" s="92" t="str">
        <f>IFERROR(VLOOKUP(Q$4,'Critical care'!$AB$3:$AI$17,4,FALSE),"")</f>
        <v/>
      </c>
      <c r="Z152" s="130"/>
      <c r="AA152" s="130"/>
      <c r="AB152" s="130"/>
      <c r="AC152" s="130"/>
    </row>
    <row r="153" spans="2:29" x14ac:dyDescent="0.25">
      <c r="B153" s="132"/>
      <c r="C153" s="1" t="s">
        <v>281</v>
      </c>
      <c r="D153" s="110">
        <f>IFERROR(VLOOKUP(D$4,'Critical care'!$AB$3:$AJ$16,8,FALSE),"")</f>
        <v>0.78685002148689298</v>
      </c>
      <c r="E153" s="110">
        <f>IFERROR(VLOOKUP(E$4,'Critical care'!$AB$3:$AJ$16,8,FALSE),"")</f>
        <v>0.76679503637141633</v>
      </c>
      <c r="F153" s="110">
        <f>IFERROR(VLOOKUP(F$4,'Critical care'!$AB$3:$AJ$16,8,FALSE),"")</f>
        <v>0.78081023454157783</v>
      </c>
      <c r="G153" s="110">
        <f>IFERROR(VLOOKUP(G$4,'Critical care'!$AB$3:$AJ$16,8,FALSE),"")</f>
        <v>0.71832191780821919</v>
      </c>
      <c r="H153" s="110">
        <f>IFERROR(VLOOKUP(H$4,'Critical care'!$AB$3:$AJ$16,8,FALSE),"")</f>
        <v>0.76565217391304352</v>
      </c>
      <c r="I153" s="110">
        <f>IFERROR(VLOOKUP(I$4,'Critical care'!$AB$3:$AJ$16,8,FALSE),"")</f>
        <v>0.80432900432900434</v>
      </c>
      <c r="J153" s="110">
        <f>IFERROR(VLOOKUP(J$4,'Critical care'!$AB$3:$AJ$16,8,FALSE),"")</f>
        <v>0.78145407052677407</v>
      </c>
      <c r="K153" s="110">
        <f>IFERROR(VLOOKUP(K$4,'Critical care'!$AB$3:$AJ$16,8,FALSE),"")</f>
        <v>0.76296296296296295</v>
      </c>
      <c r="L153" s="110">
        <f>IFERROR(VLOOKUP(L$4,'Critical care'!$AB$3:$AJ$16,8,FALSE),"")</f>
        <v>0.79004801396769975</v>
      </c>
      <c r="M153" s="110">
        <f>IFERROR(VLOOKUP(M$4,'Critical care'!$AB$3:$AJ$16,8,FALSE),"")</f>
        <v>0.76462882096069873</v>
      </c>
      <c r="N153" s="110">
        <f>IFERROR(VLOOKUP(N$4,'Critical care'!$AB$3:$AJ$16,8,FALSE),"")</f>
        <v>0.74505494505494507</v>
      </c>
      <c r="O153" s="110">
        <f>IFERROR(VLOOKUP(O$4,'Critical care'!$AB$3:$AJ$16,8,FALSE),"")</f>
        <v>0.76615384615384619</v>
      </c>
      <c r="P153" s="110">
        <f>IFERROR(VLOOKUP(P$4,'Critical care'!$AB$3:$AJ$16,8,FALSE),"")</f>
        <v>0.7970253718285214</v>
      </c>
      <c r="Q153" s="92"/>
      <c r="Z153" s="130"/>
      <c r="AA153" s="130"/>
      <c r="AB153" s="130"/>
      <c r="AC153" s="130"/>
    </row>
    <row r="154" spans="2:29" x14ac:dyDescent="0.25">
      <c r="B154" s="132"/>
      <c r="C154" s="1" t="s">
        <v>282</v>
      </c>
      <c r="D154" s="110">
        <f>IFERROR(VLOOKUP(D$4,'Critical care'!$AB$3:$AJ$16,5,FALSE),"")</f>
        <v>0.79125683060109286</v>
      </c>
      <c r="E154" s="110">
        <f>IFERROR(VLOOKUP(E$4,'Critical care'!$AB$3:$AJ$16,5,FALSE),"")</f>
        <v>0.8029578077424967</v>
      </c>
      <c r="F154" s="110">
        <f>IFERROR(VLOOKUP(F$4,'Critical care'!$AB$3:$AJ$16,5,FALSE),"")</f>
        <v>0.79434782608695653</v>
      </c>
      <c r="G154" s="110">
        <f>IFERROR(VLOOKUP(G$4,'Critical care'!$AB$3:$AJ$16,5,FALSE),"")</f>
        <v>0.74335511982570801</v>
      </c>
      <c r="H154" s="110">
        <f>IFERROR(VLOOKUP(H$4,'Critical care'!$AB$3:$AJ$16,5,FALSE),"")</f>
        <v>0.77871694841785866</v>
      </c>
      <c r="I154" s="110">
        <f>IFERROR(VLOOKUP(I$4,'Critical care'!$AB$3:$AJ$16,5,FALSE),"")</f>
        <v>0.79083405734144219</v>
      </c>
      <c r="J154" s="110">
        <f>IFERROR(VLOOKUP(J$4,'Critical care'!$AB$3:$AJ$16,5,FALSE),"")</f>
        <v>0.77847553053269813</v>
      </c>
      <c r="K154" s="110">
        <f>IFERROR(VLOOKUP(K$4,'Critical care'!$AB$3:$AJ$16,5,FALSE),"")</f>
        <v>0.76699239956568943</v>
      </c>
      <c r="L154" s="110">
        <f>IFERROR(VLOOKUP(L$4,'Critical care'!$AB$3:$AJ$16,5,FALSE),"")</f>
        <v>0.76089312811619336</v>
      </c>
      <c r="M154" s="110">
        <f>IFERROR(VLOOKUP(M$4,'Critical care'!$AB$3:$AJ$16,5,FALSE),"")</f>
        <v>0.76612377850162872</v>
      </c>
      <c r="N154" s="110">
        <f>IFERROR(VLOOKUP(N$4,'Critical care'!$AB$3:$AJ$16,5,FALSE),"")</f>
        <v>0.76427176036466249</v>
      </c>
      <c r="O154" s="110">
        <f>IFERROR(VLOOKUP(O$4,'Critical care'!$AB$3:$AJ$16,5,FALSE),"")</f>
        <v>0.75923511516731856</v>
      </c>
      <c r="P154" s="110">
        <f>IFERROR(VLOOKUP(P$4,'Critical care'!$AB$3:$AJ$16,5,FALSE),"")</f>
        <v>0.74674196350999134</v>
      </c>
      <c r="Q154" s="92"/>
      <c r="Z154" s="130"/>
      <c r="AA154" s="130"/>
      <c r="AB154" s="130"/>
      <c r="AC154" s="130"/>
    </row>
    <row r="155" spans="2:29" x14ac:dyDescent="0.25">
      <c r="B155" s="132"/>
      <c r="C155" s="1" t="s">
        <v>284</v>
      </c>
      <c r="D155" s="110">
        <f>IFERROR(VLOOKUP(D$4,'Critical care'!$AB$3:$AJ$16,9,FALSE),"")</f>
        <v>0.83240713658964605</v>
      </c>
      <c r="E155" s="110">
        <f>IFERROR(VLOOKUP(E$4,'Critical care'!$AB$3:$AJ$16,9,FALSE),"")</f>
        <v>0.83576855639976622</v>
      </c>
      <c r="F155" s="110">
        <f>IFERROR(VLOOKUP(F$4,'Critical care'!$AB$3:$AJ$16,9,FALSE),"")</f>
        <v>0.84182776801405979</v>
      </c>
      <c r="G155" s="110">
        <f>IFERROR(VLOOKUP(G$4,'Critical care'!$AB$3:$AJ$16,9,FALSE),"")</f>
        <v>0.79433461197993505</v>
      </c>
      <c r="H155" s="110">
        <f>IFERROR(VLOOKUP(H$4,'Critical care'!$AB$3:$AJ$16,9,FALSE),"")</f>
        <v>0.84937116115823341</v>
      </c>
      <c r="I155" s="110">
        <f>IFERROR(VLOOKUP(I$4,'Critical care'!$AB$3:$AJ$16,9,FALSE),"")</f>
        <v>0.85839929639401935</v>
      </c>
      <c r="J155" s="110">
        <f>IFERROR(VLOOKUP(J$4,'Critical care'!$AB$3:$AJ$16,9,FALSE),"")</f>
        <v>0.8389557054854796</v>
      </c>
      <c r="K155" s="110">
        <f>IFERROR(VLOOKUP(K$4,'Critical care'!$AB$3:$AJ$16,9,FALSE),"")</f>
        <v>0.8231850117096019</v>
      </c>
      <c r="L155" s="110">
        <f>IFERROR(VLOOKUP(L$4,'Critical care'!$AB$3:$AJ$16,9,FALSE),"")</f>
        <v>0.83142437591776797</v>
      </c>
      <c r="M155" s="110">
        <f>IFERROR(VLOOKUP(M$4,'Critical care'!$AB$3:$AJ$16,9,FALSE),"")</f>
        <v>0.83264947245017584</v>
      </c>
      <c r="N155" s="110">
        <f>IFERROR(VLOOKUP(N$4,'Critical care'!$AB$3:$AJ$16,9,FALSE),"")</f>
        <v>0.81510875955320394</v>
      </c>
      <c r="O155" s="110">
        <f>IFERROR(VLOOKUP(O$4,'Critical care'!$AB$3:$AJ$16,9,FALSE),"")</f>
        <v>0.82404692082111441</v>
      </c>
      <c r="P155" s="110">
        <f>IFERROR(VLOOKUP(P$4,'Critical care'!$AB$3:$AJ$16,9,FALSE),"")</f>
        <v>0.83279554121443233</v>
      </c>
      <c r="Q155" s="92" t="str">
        <f>IFERROR(VLOOKUP(Q$4,'Critical care'!$AB$3:$AI$17,5,FALSE),"")</f>
        <v/>
      </c>
      <c r="Z155" s="130"/>
      <c r="AA155" s="130"/>
      <c r="AB155" s="130"/>
      <c r="AC155" s="130"/>
    </row>
    <row r="156" spans="2:29" x14ac:dyDescent="0.25">
      <c r="B156" s="132"/>
      <c r="C156" s="1" t="s">
        <v>238</v>
      </c>
      <c r="D156" s="110">
        <f>IFERROR(VLOOKUP(D$4,'Critical care'!$AB$3:$AJ$16,6,FALSE),"")</f>
        <v>0.84200800739143822</v>
      </c>
      <c r="E156" s="110">
        <f>IFERROR(VLOOKUP(E$4,'Critical care'!$AB$3:$AJ$16,6,FALSE),"")</f>
        <v>0.8502024291497976</v>
      </c>
      <c r="F156" s="110">
        <f>IFERROR(VLOOKUP(F$4,'Critical care'!$AB$3:$AJ$16,6,FALSE),"")</f>
        <v>0.85812500000000003</v>
      </c>
      <c r="G156" s="110">
        <f>IFERROR(VLOOKUP(G$4,'Critical care'!$AB$3:$AJ$16,6,FALSE),"")</f>
        <v>0.79385964912280704</v>
      </c>
      <c r="H156" s="110">
        <f>IFERROR(VLOOKUP(H$4,'Critical care'!$AB$3:$AJ$16,6,FALSE),"")</f>
        <v>0.85461872287662743</v>
      </c>
      <c r="I156" s="110">
        <f>IFERROR(VLOOKUP(I$4,'Critical care'!$AB$3:$AJ$16,6,FALSE),"")</f>
        <v>0.86751080914144529</v>
      </c>
      <c r="J156" s="110">
        <f>IFERROR(VLOOKUP(J$4,'Critical care'!$AB$3:$AJ$16,6,FALSE),"")</f>
        <v>0.86373490244657791</v>
      </c>
      <c r="K156" s="110">
        <f>IFERROR(VLOOKUP(K$4,'Critical care'!$AB$3:$AJ$16,6,FALSE),"")</f>
        <v>0.85196655311241876</v>
      </c>
      <c r="L156" s="110">
        <f>IFERROR(VLOOKUP(L$4,'Critical care'!$AB$3:$AJ$16,6,FALSE),"")</f>
        <v>0.84006211180124224</v>
      </c>
      <c r="M156" s="110">
        <f>IFERROR(VLOOKUP(M$4,'Critical care'!$AB$3:$AJ$16,6,FALSE),"")</f>
        <v>0.83137376237623761</v>
      </c>
      <c r="N156" s="110">
        <f>IFERROR(VLOOKUP(N$4,'Critical care'!$AB$3:$AJ$16,6,FALSE),"")</f>
        <v>0.8294859956909818</v>
      </c>
      <c r="O156" s="110">
        <f>IFERROR(VLOOKUP(O$4,'Critical care'!$AB$3:$AJ$16,6,FALSE),"")</f>
        <v>0.81238390092879254</v>
      </c>
      <c r="P156" s="110">
        <f>IFERROR(VLOOKUP(P$4,'Critical care'!$AB$3:$AJ$16,6,FALSE),"")</f>
        <v>0.84899845916795069</v>
      </c>
      <c r="Q156" s="92" t="str">
        <f>IFERROR(VLOOKUP(Q$4,'Critical care'!$AB$3:$AI$17,6,FALSE),"")</f>
        <v/>
      </c>
      <c r="Z156" s="130"/>
      <c r="AA156" s="130"/>
      <c r="AB156" s="130"/>
      <c r="AC156" s="130"/>
    </row>
    <row r="157" spans="2:29" x14ac:dyDescent="0.25">
      <c r="B157" s="132"/>
      <c r="C157" s="11" t="s">
        <v>239</v>
      </c>
      <c r="D157" s="110">
        <f>IFERROR(VLOOKUP(D$4,'Critical care'!$AB$3:$AJ$16,7,FALSE),"")</f>
        <v>0.7681551646368967</v>
      </c>
      <c r="E157" s="110">
        <f>IFERROR(VLOOKUP(E$4,'Critical care'!$AB$3:$AJ$16,7,FALSE),"")</f>
        <v>0.81333930170098478</v>
      </c>
      <c r="F157" s="110">
        <f>IFERROR(VLOOKUP(F$4,'Critical care'!$AB$3:$AJ$16,7,FALSE),"")</f>
        <v>0.82170193606483566</v>
      </c>
      <c r="G157" s="110">
        <f>IFERROR(VLOOKUP(G$4,'Critical care'!$AB$3:$AJ$16,7,FALSE),"")</f>
        <v>0.77297543221110099</v>
      </c>
      <c r="H157" s="110">
        <f>IFERROR(VLOOKUP(H$4,'Critical care'!$AB$3:$AJ$16,7,FALSE),"")</f>
        <v>0.81402861098292567</v>
      </c>
      <c r="I157" s="110">
        <f>IFERROR(VLOOKUP(I$4,'Critical care'!$AB$3:$AJ$16,7,FALSE),"")</f>
        <v>0.82657657657657657</v>
      </c>
      <c r="J157" s="110">
        <f>IFERROR(VLOOKUP(J$4,'Critical care'!$AB$3:$AJ$16,7,FALSE),"")</f>
        <v>0.83325842696629215</v>
      </c>
      <c r="K157" s="110">
        <f>IFERROR(VLOOKUP(K$4,'Critical care'!$AB$3:$AJ$16,7,FALSE),"")</f>
        <v>0.78756241488878798</v>
      </c>
      <c r="L157" s="110">
        <f>IFERROR(VLOOKUP(L$4,'Critical care'!$AB$3:$AJ$16,7,FALSE),"")</f>
        <v>0.80405405405405406</v>
      </c>
      <c r="M157" s="110">
        <f>IFERROR(VLOOKUP(M$4,'Critical care'!$AB$3:$AJ$16,7,FALSE),"")</f>
        <v>0.80271493212669687</v>
      </c>
      <c r="N157" s="110">
        <f>IFERROR(VLOOKUP(N$4,'Critical care'!$AB$3:$AJ$16,7,FALSE),"")</f>
        <v>0.79873646209386284</v>
      </c>
      <c r="O157" s="110">
        <f>IFERROR(VLOOKUP(O$4,'Critical care'!$AB$3:$AJ$16,7,FALSE),"")</f>
        <v>0.78703286807744255</v>
      </c>
      <c r="P157" s="110">
        <f>IFERROR(VLOOKUP(P$4,'Critical care'!$AB$3:$AJ$16,7,FALSE),"")</f>
        <v>0.76729559748427678</v>
      </c>
      <c r="Q157" s="92" t="str">
        <f>IFERROR(VLOOKUP(Q$4,'Critical care'!$AB$3:$AI$17,7,FALSE),"")</f>
        <v/>
      </c>
      <c r="Z157" s="130"/>
      <c r="AA157" s="130"/>
      <c r="AB157" s="130"/>
      <c r="AC157" s="130"/>
    </row>
    <row r="158" spans="2:29" ht="7.5" customHeight="1" x14ac:dyDescent="0.25">
      <c r="B158" s="132"/>
      <c r="Z158" s="130"/>
      <c r="AA158" s="130"/>
      <c r="AB158" s="130"/>
      <c r="AC158" s="130"/>
    </row>
    <row r="159" spans="2:29" x14ac:dyDescent="0.25">
      <c r="B159" s="132"/>
      <c r="C159" s="12" t="s">
        <v>18</v>
      </c>
      <c r="D159" s="125"/>
      <c r="E159" s="125"/>
      <c r="F159" s="125"/>
      <c r="G159" s="125"/>
      <c r="H159" s="125"/>
      <c r="I159" s="125"/>
      <c r="J159" s="125"/>
      <c r="K159" s="125"/>
      <c r="L159" s="125"/>
      <c r="M159" s="125"/>
      <c r="N159" s="125"/>
      <c r="O159" s="125"/>
      <c r="P159" s="125"/>
      <c r="Z159" s="130"/>
      <c r="AA159" s="130"/>
      <c r="AB159" s="130"/>
      <c r="AC159" s="130"/>
    </row>
    <row r="160" spans="2:29" x14ac:dyDescent="0.25">
      <c r="B160" s="132"/>
      <c r="C160" s="1" t="s">
        <v>234</v>
      </c>
      <c r="D160" s="14">
        <v>658.57142857142856</v>
      </c>
      <c r="E160" s="14">
        <v>688.28571428571433</v>
      </c>
      <c r="F160" s="14">
        <v>699</v>
      </c>
      <c r="G160" s="14">
        <v>847.14285714285711</v>
      </c>
      <c r="H160" s="14">
        <v>610.42857142857144</v>
      </c>
      <c r="I160" s="14">
        <v>541.42857142857144</v>
      </c>
      <c r="J160" s="14">
        <v>545.14285714285711</v>
      </c>
      <c r="K160" s="14">
        <v>541.85714285714289</v>
      </c>
      <c r="L160" s="14">
        <v>531.14285714285711</v>
      </c>
      <c r="M160" s="14">
        <v>527.71428571428567</v>
      </c>
      <c r="N160" s="14">
        <v>549.14285714285711</v>
      </c>
      <c r="O160" s="14">
        <v>610.42857142857144</v>
      </c>
      <c r="P160" s="14">
        <v>644.71428571428567</v>
      </c>
      <c r="Z160" s="130"/>
      <c r="AA160" s="130"/>
      <c r="AB160" s="130"/>
      <c r="AC160" s="130"/>
    </row>
    <row r="161" spans="2:29" ht="7.5" customHeight="1" x14ac:dyDescent="0.25">
      <c r="B161" s="132"/>
      <c r="C161" s="1"/>
      <c r="Z161" s="130"/>
      <c r="AA161" s="130"/>
      <c r="AB161" s="130"/>
      <c r="AC161" s="130"/>
    </row>
    <row r="162" spans="2:29" x14ac:dyDescent="0.25">
      <c r="B162" s="132"/>
      <c r="C162" s="16" t="s">
        <v>268</v>
      </c>
      <c r="D162" s="94">
        <f>IFERROR(VLOOKUP(D$4,'Critical care'!$BM$5:$BU$18,2,FALSE),"")</f>
        <v>620.57142857142856</v>
      </c>
      <c r="E162" s="94">
        <f>IFERROR(VLOOKUP(E$4,'Critical care'!$BM$5:$BU$18,2,FALSE),"")</f>
        <v>595.57142857142856</v>
      </c>
      <c r="F162" s="94">
        <f>IFERROR(VLOOKUP(F$4,'Critical care'!$BM$5:$BU$18,2,FALSE),"")</f>
        <v>582.42857142857144</v>
      </c>
      <c r="G162" s="94">
        <f>IFERROR(VLOOKUP(G$4,'Critical care'!$BM$5:$BU$18,2,FALSE),"")</f>
        <v>780.85714285714289</v>
      </c>
      <c r="H162" s="94">
        <f>IFERROR(VLOOKUP(H$4,'Critical care'!$BM$5:$BU$18,2,FALSE),"")</f>
        <v>647</v>
      </c>
      <c r="I162" s="94">
        <f>IFERROR(VLOOKUP(I$4,'Critical care'!$BM$5:$BU$18,2,FALSE),"")</f>
        <v>571.42857142857144</v>
      </c>
      <c r="J162" s="94">
        <f>IFERROR(VLOOKUP(J$4,'Critical care'!$BM$5:$BU$18,2,FALSE),"")</f>
        <v>617.85714285714289</v>
      </c>
      <c r="K162" s="94">
        <f>IFERROR(VLOOKUP(K$4,'Critical care'!$BM$5:$BU$18,2,FALSE),"")</f>
        <v>663.71428571428567</v>
      </c>
      <c r="L162" s="94">
        <f>IFERROR(VLOOKUP(L$4,'Critical care'!$BM$5:$BU$18,2,FALSE),"")</f>
        <v>650.71428571428567</v>
      </c>
      <c r="M162" s="94">
        <f>IFERROR(VLOOKUP(M$4,'Critical care'!$BM$5:$BU$18,2,FALSE),"")</f>
        <v>683.28571428571433</v>
      </c>
      <c r="N162" s="94">
        <f>IFERROR(VLOOKUP(N$4,'Critical care'!$BM$5:$BU$18,2,FALSE),"")</f>
        <v>675.14285714285711</v>
      </c>
      <c r="O162" s="94">
        <f>IFERROR(VLOOKUP(O$4,'Critical care'!$BM$5:$BU$18,2,FALSE),"")</f>
        <v>695.28571428571433</v>
      </c>
      <c r="P162" s="94">
        <f>IFERROR(VLOOKUP(P$4,'Critical care'!$BM$5:$BU$18,2,FALSE),"")</f>
        <v>669.14285714285711</v>
      </c>
      <c r="Q162" s="93" t="str">
        <f>IFERROR(VLOOKUP(Q$4,'Critical care'!$BM$5:$BT$19,2,FALSE),"")</f>
        <v/>
      </c>
      <c r="Z162" s="130"/>
      <c r="AA162" s="130"/>
      <c r="AB162" s="130"/>
      <c r="AC162" s="130"/>
    </row>
    <row r="163" spans="2:29" x14ac:dyDescent="0.25">
      <c r="B163" s="132"/>
      <c r="C163" s="1" t="s">
        <v>1</v>
      </c>
      <c r="D163" s="109">
        <f>IFERROR(VLOOKUP(D$4,'Critical care'!$BM$5:$BU$18,3,FALSE),"")</f>
        <v>76.857142857142861</v>
      </c>
      <c r="E163" s="109">
        <f>IFERROR(VLOOKUP(E$4,'Critical care'!$BM$5:$BU$18,3,FALSE),"")</f>
        <v>74.428571428571431</v>
      </c>
      <c r="F163" s="109">
        <f>IFERROR(VLOOKUP(F$4,'Critical care'!$BM$5:$BU$18,3,FALSE),"")</f>
        <v>74.571428571428569</v>
      </c>
      <c r="G163" s="109">
        <f>IFERROR(VLOOKUP(G$4,'Critical care'!$BM$5:$BU$18,3,FALSE),"")</f>
        <v>118.14285714285714</v>
      </c>
      <c r="H163" s="109">
        <f>IFERROR(VLOOKUP(H$4,'Critical care'!$BM$5:$BU$18,3,FALSE),"")</f>
        <v>109.28571428571429</v>
      </c>
      <c r="I163" s="109">
        <f>IFERROR(VLOOKUP(I$4,'Critical care'!$BM$5:$BU$18,3,FALSE),"")</f>
        <v>82.428571428571431</v>
      </c>
      <c r="J163" s="109">
        <f>IFERROR(VLOOKUP(J$4,'Critical care'!$BM$5:$BU$18,3,FALSE),"")</f>
        <v>79.142857142857139</v>
      </c>
      <c r="K163" s="109">
        <f>IFERROR(VLOOKUP(K$4,'Critical care'!$BM$5:$BU$18,3,FALSE),"")</f>
        <v>88</v>
      </c>
      <c r="L163" s="109">
        <f>IFERROR(VLOOKUP(L$4,'Critical care'!$BM$5:$BU$18,3,FALSE),"")</f>
        <v>92.714285714285708</v>
      </c>
      <c r="M163" s="109">
        <f>IFERROR(VLOOKUP(M$4,'Critical care'!$BM$5:$BU$18,3,FALSE),"")</f>
        <v>113.14285714285714</v>
      </c>
      <c r="N163" s="109">
        <f>IFERROR(VLOOKUP(N$4,'Critical care'!$BM$5:$BU$18,3,FALSE),"")</f>
        <v>82.571428571428569</v>
      </c>
      <c r="O163" s="109">
        <f>IFERROR(VLOOKUP(O$4,'Critical care'!$BM$5:$BU$18,3,FALSE),"")</f>
        <v>100</v>
      </c>
      <c r="P163" s="109">
        <f>IFERROR(VLOOKUP(P$4,'Critical care'!$BM$5:$BU$18,3,FALSE),"")</f>
        <v>86.142857142857139</v>
      </c>
      <c r="Q163" s="90" t="str">
        <f>IFERROR(VLOOKUP(Q$4,'Critical care'!$BM$5:$BT$19,3,FALSE),"")</f>
        <v/>
      </c>
      <c r="Z163" s="130"/>
      <c r="AA163" s="130"/>
      <c r="AB163" s="130"/>
      <c r="AC163" s="130"/>
    </row>
    <row r="164" spans="2:29" x14ac:dyDescent="0.25">
      <c r="B164" s="132"/>
      <c r="C164" s="1" t="s">
        <v>241</v>
      </c>
      <c r="D164" s="109">
        <f>IFERROR(VLOOKUP(D$4,'Critical care'!$BM$5:$BU$18,4,FALSE),"")</f>
        <v>107.85714285714286</v>
      </c>
      <c r="E164" s="109">
        <f>IFERROR(VLOOKUP(E$4,'Critical care'!$BM$5:$BU$18,4,FALSE),"")</f>
        <v>105.28571428571429</v>
      </c>
      <c r="F164" s="109">
        <f>IFERROR(VLOOKUP(F$4,'Critical care'!$BM$5:$BU$18,4,FALSE),"")</f>
        <v>100.71428571428571</v>
      </c>
      <c r="G164" s="109">
        <f>IFERROR(VLOOKUP(G$4,'Critical care'!$BM$5:$BU$18,4,FALSE),"")</f>
        <v>135.57142857142858</v>
      </c>
      <c r="H164" s="109">
        <f>IFERROR(VLOOKUP(H$4,'Critical care'!$BM$5:$BU$18,4,FALSE),"")</f>
        <v>116.71428571428571</v>
      </c>
      <c r="I164" s="109">
        <f>IFERROR(VLOOKUP(I$4,'Critical care'!$BM$5:$BU$18,4,FALSE),"")</f>
        <v>101.57142857142857</v>
      </c>
      <c r="J164" s="109">
        <f>IFERROR(VLOOKUP(J$4,'Critical care'!$BM$5:$BU$18,4,FALSE),"")</f>
        <v>126.57142857142857</v>
      </c>
      <c r="K164" s="109">
        <f>IFERROR(VLOOKUP(K$4,'Critical care'!$BM$5:$BU$18,4,FALSE),"")</f>
        <v>123.28571428571429</v>
      </c>
      <c r="L164" s="109">
        <f>IFERROR(VLOOKUP(L$4,'Critical care'!$BM$5:$BU$18,4,FALSE),"")</f>
        <v>114</v>
      </c>
      <c r="M164" s="109">
        <f>IFERROR(VLOOKUP(M$4,'Critical care'!$BM$5:$BU$18,4,FALSE),"")</f>
        <v>117.57142857142857</v>
      </c>
      <c r="N164" s="109">
        <f>IFERROR(VLOOKUP(N$4,'Critical care'!$BM$5:$BU$18,4,FALSE),"")</f>
        <v>121.85714285714286</v>
      </c>
      <c r="O164" s="109">
        <f>IFERROR(VLOOKUP(O$4,'Critical care'!$BM$5:$BU$18,4,FALSE),"")</f>
        <v>121.14285714285714</v>
      </c>
      <c r="P164" s="109">
        <f>IFERROR(VLOOKUP(P$4,'Critical care'!$BM$5:$BU$18,4,FALSE),"")</f>
        <v>124.71428571428571</v>
      </c>
      <c r="Q164" s="90" t="str">
        <f>IFERROR(VLOOKUP(Q$4,'Critical care'!$BM$5:$BT$19,4,FALSE),"")</f>
        <v/>
      </c>
      <c r="Z164" s="130"/>
      <c r="AA164" s="130"/>
      <c r="AB164" s="130"/>
      <c r="AC164" s="130"/>
    </row>
    <row r="165" spans="2:29" x14ac:dyDescent="0.25">
      <c r="B165" s="132"/>
      <c r="C165" s="1" t="s">
        <v>281</v>
      </c>
      <c r="D165" s="109">
        <f>IFERROR(VLOOKUP(D$4,'Critical care'!$BM$5:$BU$18,8,FALSE),"")</f>
        <v>70.857142857142861</v>
      </c>
      <c r="E165" s="109">
        <f>IFERROR(VLOOKUP(E$4,'Critical care'!$BM$5:$BU$18,8,FALSE),"")</f>
        <v>77.857142857142861</v>
      </c>
      <c r="F165" s="109">
        <f>IFERROR(VLOOKUP(F$4,'Critical care'!$BM$5:$BU$18,8,FALSE),"")</f>
        <v>73.428571428571431</v>
      </c>
      <c r="G165" s="109">
        <f>IFERROR(VLOOKUP(G$4,'Critical care'!$BM$5:$BU$18,8,FALSE),"")</f>
        <v>94</v>
      </c>
      <c r="H165" s="109">
        <f>IFERROR(VLOOKUP(H$4,'Critical care'!$BM$5:$BU$18,8,FALSE),"")</f>
        <v>77</v>
      </c>
      <c r="I165" s="109">
        <f>IFERROR(VLOOKUP(I$4,'Critical care'!$BM$5:$BU$18,8,FALSE),"")</f>
        <v>64.571428571428569</v>
      </c>
      <c r="J165" s="109">
        <f>IFERROR(VLOOKUP(J$4,'Critical care'!$BM$5:$BU$18,8,FALSE),"")</f>
        <v>71.714285714285708</v>
      </c>
      <c r="K165" s="109">
        <f>IFERROR(VLOOKUP(K$4,'Critical care'!$BM$5:$BU$18,8,FALSE),"")</f>
        <v>77.714285714285708</v>
      </c>
      <c r="L165" s="109">
        <f>IFERROR(VLOOKUP(L$4,'Critical care'!$BM$5:$BU$18,8,FALSE),"")</f>
        <v>68.714285714285708</v>
      </c>
      <c r="M165" s="109">
        <f>IFERROR(VLOOKUP(M$4,'Critical care'!$BM$5:$BU$18,8,FALSE),"")</f>
        <v>77</v>
      </c>
      <c r="N165" s="109">
        <f>IFERROR(VLOOKUP(N$4,'Critical care'!$BM$5:$BU$18,8,FALSE),"")</f>
        <v>82.857142857142861</v>
      </c>
      <c r="O165" s="109">
        <f>IFERROR(VLOOKUP(O$4,'Critical care'!$BM$5:$BU$18,8,FALSE),"")</f>
        <v>76</v>
      </c>
      <c r="P165" s="109">
        <f>IFERROR(VLOOKUP(P$4,'Critical care'!$BM$5:$BU$18,8,FALSE),"")</f>
        <v>66.285714285714292</v>
      </c>
      <c r="Q165" s="90"/>
      <c r="Z165" s="130"/>
      <c r="AA165" s="130"/>
      <c r="AB165" s="130"/>
      <c r="AC165" s="130"/>
    </row>
    <row r="166" spans="2:29" x14ac:dyDescent="0.25">
      <c r="B166" s="132"/>
      <c r="C166" s="1" t="s">
        <v>282</v>
      </c>
      <c r="D166" s="109">
        <f>IFERROR(VLOOKUP(D$4,'Critical care'!$BM$5:$BU$18,5,FALSE),"")</f>
        <v>136.42857142857142</v>
      </c>
      <c r="E166" s="109">
        <f>IFERROR(VLOOKUP(E$4,'Critical care'!$BM$5:$BU$18,5,FALSE),"")</f>
        <v>129.42857142857142</v>
      </c>
      <c r="F166" s="109">
        <f>IFERROR(VLOOKUP(F$4,'Critical care'!$BM$5:$BU$18,5,FALSE),"")</f>
        <v>135.14285714285714</v>
      </c>
      <c r="G166" s="109">
        <f>IFERROR(VLOOKUP(G$4,'Critical care'!$BM$5:$BU$18,5,FALSE),"")</f>
        <v>168.28571428571428</v>
      </c>
      <c r="H166" s="109">
        <f>IFERROR(VLOOKUP(H$4,'Critical care'!$BM$5:$BU$18,5,FALSE),"")</f>
        <v>145.85714285714286</v>
      </c>
      <c r="I166" s="109">
        <f>IFERROR(VLOOKUP(I$4,'Critical care'!$BM$5:$BU$18,5,FALSE),"")</f>
        <v>137.57142857142858</v>
      </c>
      <c r="J166" s="109">
        <f>IFERROR(VLOOKUP(J$4,'Critical care'!$BM$5:$BU$18,5,FALSE),"")</f>
        <v>146.14285714285714</v>
      </c>
      <c r="K166" s="109">
        <f>IFERROR(VLOOKUP(K$4,'Critical care'!$BM$5:$BU$18,5,FALSE),"")</f>
        <v>153.28571428571428</v>
      </c>
      <c r="L166" s="109">
        <f>IFERROR(VLOOKUP(L$4,'Critical care'!$BM$5:$BU$18,5,FALSE),"")</f>
        <v>157.57142857142858</v>
      </c>
      <c r="M166" s="109">
        <f>IFERROR(VLOOKUP(M$4,'Critical care'!$BM$5:$BU$18,5,FALSE),"")</f>
        <v>153.85714285714286</v>
      </c>
      <c r="N166" s="109">
        <f>IFERROR(VLOOKUP(N$4,'Critical care'!$BM$5:$BU$18,5,FALSE),"")</f>
        <v>155.14285714285714</v>
      </c>
      <c r="O166" s="109">
        <f>IFERROR(VLOOKUP(O$4,'Critical care'!$BM$5:$BU$18,5,FALSE),"")</f>
        <v>158.28571428571428</v>
      </c>
      <c r="P166" s="109">
        <f>IFERROR(VLOOKUP(P$4,'Critical care'!$BM$5:$BU$18,5,FALSE),"")</f>
        <v>166.57142857142858</v>
      </c>
      <c r="Q166" s="90"/>
      <c r="Z166" s="130"/>
      <c r="AA166" s="130"/>
      <c r="AB166" s="130"/>
      <c r="AC166" s="130"/>
    </row>
    <row r="167" spans="2:29" x14ac:dyDescent="0.25">
      <c r="B167" s="132"/>
      <c r="C167" s="1" t="s">
        <v>284</v>
      </c>
      <c r="D167" s="109">
        <f>IFERROR(VLOOKUP(D$4,'Critical care'!$BM$5:$BU$18,9,FALSE),"")</f>
        <v>81.857142857142861</v>
      </c>
      <c r="E167" s="109">
        <f>IFERROR(VLOOKUP(E$4,'Critical care'!$BM$5:$BU$18,9,FALSE),"")</f>
        <v>80.285714285714292</v>
      </c>
      <c r="F167" s="109">
        <f>IFERROR(VLOOKUP(F$4,'Critical care'!$BM$5:$BU$18,9,FALSE),"")</f>
        <v>77.142857142857139</v>
      </c>
      <c r="G167" s="109">
        <f>IFERROR(VLOOKUP(G$4,'Critical care'!$BM$5:$BU$18,9,FALSE),"")</f>
        <v>99.571428571428569</v>
      </c>
      <c r="H167" s="109">
        <f>IFERROR(VLOOKUP(H$4,'Critical care'!$BM$5:$BU$18,9,FALSE),"")</f>
        <v>73.571428571428569</v>
      </c>
      <c r="I167" s="109">
        <f>IFERROR(VLOOKUP(I$4,'Critical care'!$BM$5:$BU$18,9,FALSE),"")</f>
        <v>69</v>
      </c>
      <c r="J167" s="109">
        <f>IFERROR(VLOOKUP(J$4,'Critical care'!$BM$5:$BU$18,9,FALSE),"")</f>
        <v>78.428571428571431</v>
      </c>
      <c r="K167" s="109">
        <f>IFERROR(VLOOKUP(K$4,'Critical care'!$BM$5:$BU$18,9,FALSE),"")</f>
        <v>86.285714285714292</v>
      </c>
      <c r="L167" s="109">
        <f>IFERROR(VLOOKUP(L$4,'Critical care'!$BM$5:$BU$18,9,FALSE),"")</f>
        <v>82</v>
      </c>
      <c r="M167" s="109">
        <f>IFERROR(VLOOKUP(M$4,'Critical care'!$BM$5:$BU$18,9,FALSE),"")</f>
        <v>81.571428571428569</v>
      </c>
      <c r="N167" s="109">
        <f>IFERROR(VLOOKUP(N$4,'Critical care'!$BM$5:$BU$18,9,FALSE),"")</f>
        <v>89.857142857142861</v>
      </c>
      <c r="O167" s="109">
        <f>IFERROR(VLOOKUP(O$4,'Critical care'!$BM$5:$BU$18,9,FALSE),"")</f>
        <v>85.714285714285708</v>
      </c>
      <c r="P167" s="109">
        <f>IFERROR(VLOOKUP(P$4,'Critical care'!$BM$5:$BU$18,9,FALSE),"")</f>
        <v>81.428571428571431</v>
      </c>
      <c r="Q167" s="90" t="str">
        <f>IFERROR(VLOOKUP(Q$4,'Critical care'!$BM$5:$BT$19,5,FALSE),"")</f>
        <v/>
      </c>
      <c r="Z167" s="130"/>
      <c r="AA167" s="130"/>
      <c r="AB167" s="130"/>
      <c r="AC167" s="130"/>
    </row>
    <row r="168" spans="2:29" x14ac:dyDescent="0.25">
      <c r="B168" s="132"/>
      <c r="C168" s="1" t="s">
        <v>238</v>
      </c>
      <c r="D168" s="109">
        <f>IFERROR(VLOOKUP(D$4,'Critical care'!$BM$5:$BU$18,6,FALSE),"")</f>
        <v>73.285714285714292</v>
      </c>
      <c r="E168" s="109">
        <f>IFERROR(VLOOKUP(E$4,'Critical care'!$BM$5:$BU$18,6,FALSE),"")</f>
        <v>68.714285714285708</v>
      </c>
      <c r="F168" s="109">
        <f>IFERROR(VLOOKUP(F$4,'Critical care'!$BM$5:$BU$18,6,FALSE),"")</f>
        <v>64.857142857142861</v>
      </c>
      <c r="G168" s="109">
        <f>IFERROR(VLOOKUP(G$4,'Critical care'!$BM$5:$BU$18,6,FALSE),"")</f>
        <v>94</v>
      </c>
      <c r="H168" s="109">
        <f>IFERROR(VLOOKUP(H$4,'Critical care'!$BM$5:$BU$18,6,FALSE),"")</f>
        <v>67</v>
      </c>
      <c r="I168" s="109">
        <f>IFERROR(VLOOKUP(I$4,'Critical care'!$BM$5:$BU$18,6,FALSE),"")</f>
        <v>61.285714285714285</v>
      </c>
      <c r="J168" s="109">
        <f>IFERROR(VLOOKUP(J$4,'Critical care'!$BM$5:$BU$18,6,FALSE),"")</f>
        <v>62.857142857142854</v>
      </c>
      <c r="K168" s="109">
        <f>IFERROR(VLOOKUP(K$4,'Critical care'!$BM$5:$BU$18,6,FALSE),"")</f>
        <v>68.285714285714292</v>
      </c>
      <c r="L168" s="109">
        <f>IFERROR(VLOOKUP(L$4,'Critical care'!$BM$5:$BU$18,6,FALSE),"")</f>
        <v>73.571428571428569</v>
      </c>
      <c r="M168" s="109">
        <f>IFERROR(VLOOKUP(M$4,'Critical care'!$BM$5:$BU$18,6,FALSE),"")</f>
        <v>77.857142857142861</v>
      </c>
      <c r="N168" s="109">
        <f>IFERROR(VLOOKUP(N$4,'Critical care'!$BM$5:$BU$18,6,FALSE),"")</f>
        <v>79.142857142857139</v>
      </c>
      <c r="O168" s="109">
        <f>IFERROR(VLOOKUP(O$4,'Critical care'!$BM$5:$BU$18,6,FALSE),"")</f>
        <v>86.571428571428569</v>
      </c>
      <c r="P168" s="109">
        <f>IFERROR(VLOOKUP(P$4,'Critical care'!$BM$5:$BU$18,6,FALSE),"")</f>
        <v>70</v>
      </c>
      <c r="Q168" s="90" t="str">
        <f>IFERROR(VLOOKUP(Q$4,'Critical care'!$BM$5:$BT$19,6,FALSE),"")</f>
        <v/>
      </c>
      <c r="Z168" s="50"/>
      <c r="AA168" s="50"/>
      <c r="AB168" s="50"/>
      <c r="AC168" s="50"/>
    </row>
    <row r="169" spans="2:29" x14ac:dyDescent="0.25">
      <c r="B169" s="132"/>
      <c r="C169" s="11" t="s">
        <v>239</v>
      </c>
      <c r="D169" s="109">
        <f>IFERROR(VLOOKUP(D$4,'Critical care'!$BM$5:$BU$18,7,FALSE),"")</f>
        <v>73.428571428571431</v>
      </c>
      <c r="E169" s="109">
        <f>IFERROR(VLOOKUP(E$4,'Critical care'!$BM$5:$BU$18,7,FALSE),"")</f>
        <v>59.571428571428569</v>
      </c>
      <c r="F169" s="109">
        <f>IFERROR(VLOOKUP(F$4,'Critical care'!$BM$5:$BU$18,7,FALSE),"")</f>
        <v>56.571428571428569</v>
      </c>
      <c r="G169" s="109">
        <f>IFERROR(VLOOKUP(G$4,'Critical care'!$BM$5:$BU$18,7,FALSE),"")</f>
        <v>71.285714285714292</v>
      </c>
      <c r="H169" s="109">
        <f>IFERROR(VLOOKUP(H$4,'Critical care'!$BM$5:$BU$18,7,FALSE),"")</f>
        <v>57.571428571428569</v>
      </c>
      <c r="I169" s="109">
        <f>IFERROR(VLOOKUP(I$4,'Critical care'!$BM$5:$BU$18,7,FALSE),"")</f>
        <v>55</v>
      </c>
      <c r="J169" s="109">
        <f>IFERROR(VLOOKUP(J$4,'Critical care'!$BM$5:$BU$18,7,FALSE),"")</f>
        <v>53</v>
      </c>
      <c r="K169" s="109">
        <f>IFERROR(VLOOKUP(K$4,'Critical care'!$BM$5:$BU$18,7,FALSE),"")</f>
        <v>66.857142857142861</v>
      </c>
      <c r="L169" s="109">
        <f>IFERROR(VLOOKUP(L$4,'Critical care'!$BM$5:$BU$18,7,FALSE),"")</f>
        <v>62.142857142857146</v>
      </c>
      <c r="M169" s="109">
        <f>IFERROR(VLOOKUP(M$4,'Critical care'!$BM$5:$BU$18,7,FALSE),"")</f>
        <v>62.285714285714285</v>
      </c>
      <c r="N169" s="109">
        <f>IFERROR(VLOOKUP(N$4,'Critical care'!$BM$5:$BU$18,7,FALSE),"")</f>
        <v>63.714285714285715</v>
      </c>
      <c r="O169" s="109">
        <f>IFERROR(VLOOKUP(O$4,'Critical care'!$BM$5:$BU$18,7,FALSE),"")</f>
        <v>67.571428571428569</v>
      </c>
      <c r="P169" s="109">
        <f>IFERROR(VLOOKUP(P$4,'Critical care'!$BM$5:$BU$18,7,FALSE),"")</f>
        <v>74</v>
      </c>
      <c r="Q169" s="90" t="str">
        <f>IFERROR(VLOOKUP(Q$4,'Critical care'!$BM$5:$BT$19,7,FALSE),"")</f>
        <v/>
      </c>
      <c r="Z169" s="50"/>
      <c r="AA169" s="50"/>
      <c r="AB169" s="50"/>
      <c r="AC169" s="50"/>
    </row>
    <row r="170" spans="2:29" ht="30" customHeight="1" x14ac:dyDescent="0.25">
      <c r="C170" s="1"/>
    </row>
    <row r="171" spans="2:29" ht="15" customHeight="1" x14ac:dyDescent="0.25">
      <c r="B171" s="132" t="s">
        <v>16</v>
      </c>
      <c r="C171" s="12" t="s">
        <v>17</v>
      </c>
      <c r="D171" s="127">
        <v>0.82548262548262552</v>
      </c>
      <c r="E171" s="127">
        <v>0.8361970217640321</v>
      </c>
      <c r="F171" s="127">
        <v>0.79832572298325721</v>
      </c>
      <c r="G171" s="127">
        <v>0.77777777777777779</v>
      </c>
      <c r="H171" s="127">
        <v>0.77381404174573054</v>
      </c>
      <c r="I171" s="127">
        <v>0.74512800917080624</v>
      </c>
      <c r="J171" s="127">
        <v>0.7752417794970986</v>
      </c>
      <c r="K171" s="127">
        <v>0.77072037180480246</v>
      </c>
      <c r="L171" s="127">
        <v>0.78565861262665626</v>
      </c>
      <c r="M171" s="127">
        <v>0.76376415462709879</v>
      </c>
      <c r="N171" s="127">
        <v>0.77830188679245282</v>
      </c>
      <c r="O171" s="127">
        <v>0.75872769588828548</v>
      </c>
      <c r="P171" s="127">
        <v>0.73317775184753009</v>
      </c>
      <c r="Q171" s="3"/>
      <c r="R171" s="3"/>
      <c r="Z171" s="133" t="s">
        <v>33</v>
      </c>
      <c r="AA171" s="133"/>
      <c r="AB171" s="133"/>
      <c r="AC171" s="133"/>
    </row>
    <row r="172" spans="2:29" x14ac:dyDescent="0.25">
      <c r="B172" s="132"/>
      <c r="C172" s="1" t="s">
        <v>234</v>
      </c>
      <c r="D172" s="7">
        <v>0.8470066518847007</v>
      </c>
      <c r="E172" s="7">
        <v>0.79902329075882794</v>
      </c>
      <c r="F172" s="7">
        <v>0.80173482032218091</v>
      </c>
      <c r="G172" s="7">
        <v>0.75762784701332186</v>
      </c>
      <c r="H172" s="7">
        <v>0.73459119496855341</v>
      </c>
      <c r="I172" s="7">
        <v>0.79054726368159201</v>
      </c>
      <c r="J172" s="7">
        <v>0.8119218910585817</v>
      </c>
      <c r="K172" s="7">
        <v>0.7984415584415584</v>
      </c>
      <c r="L172" s="7">
        <v>0.80603015075376883</v>
      </c>
      <c r="M172" s="7">
        <v>0.7935710698141637</v>
      </c>
      <c r="N172" s="7">
        <v>0.79300000000000004</v>
      </c>
      <c r="O172" s="7">
        <v>0.77272727272727271</v>
      </c>
      <c r="P172" s="7">
        <v>0.75228891149542221</v>
      </c>
      <c r="Z172" s="133"/>
      <c r="AA172" s="133"/>
      <c r="AB172" s="133"/>
      <c r="AC172" s="133"/>
    </row>
    <row r="173" spans="2:29" ht="7.5" customHeight="1" x14ac:dyDescent="0.25">
      <c r="B173" s="132"/>
      <c r="D173" s="31">
        <v>0.85</v>
      </c>
      <c r="E173" s="31">
        <v>0.85</v>
      </c>
      <c r="F173" s="31">
        <v>0.85</v>
      </c>
      <c r="G173" s="31">
        <v>0.85</v>
      </c>
      <c r="H173" s="31">
        <v>0.85</v>
      </c>
      <c r="I173" s="31">
        <v>0.85</v>
      </c>
      <c r="J173" s="31">
        <v>0.85</v>
      </c>
      <c r="K173" s="31">
        <v>0.85</v>
      </c>
      <c r="L173" s="31">
        <v>0.85</v>
      </c>
      <c r="M173" s="31">
        <v>0.85</v>
      </c>
      <c r="N173" s="31">
        <v>0.85</v>
      </c>
      <c r="O173" s="31">
        <v>0.85</v>
      </c>
      <c r="P173" s="31">
        <v>0.85</v>
      </c>
      <c r="Q173" s="31">
        <v>0.85</v>
      </c>
      <c r="Z173" s="133"/>
      <c r="AA173" s="133"/>
      <c r="AB173" s="133"/>
      <c r="AC173" s="133"/>
    </row>
    <row r="174" spans="2:29" x14ac:dyDescent="0.25">
      <c r="B174" s="132"/>
      <c r="C174" s="16" t="s">
        <v>268</v>
      </c>
      <c r="D174" s="64">
        <f>IFERROR(VLOOKUP(D$4,PICU!$AA$5:$AI$18,2,FALSE),"")</f>
        <v>0.86875315497223626</v>
      </c>
      <c r="E174" s="64">
        <f>IFERROR(VLOOKUP(E$4,PICU!$AA$5:$AI$18,2,FALSE),"")</f>
        <v>0.85352255448555503</v>
      </c>
      <c r="F174" s="64">
        <f>IFERROR(VLOOKUP(F$4,PICU!$AA$5:$AI$18,2,FALSE),"")</f>
        <v>0.85447195553309752</v>
      </c>
      <c r="G174" s="64">
        <f>IFERROR(VLOOKUP(G$4,PICU!$AA$5:$AI$18,2,FALSE),"")</f>
        <v>0.82015503875968987</v>
      </c>
      <c r="H174" s="64">
        <f>IFERROR(VLOOKUP(H$4,PICU!$AA$5:$AI$18,2,FALSE),"")</f>
        <v>0.80145152928978747</v>
      </c>
      <c r="I174" s="64">
        <f>IFERROR(VLOOKUP(I$4,PICU!$AA$5:$AI$18,2,FALSE),"")</f>
        <v>0.8007284079084287</v>
      </c>
      <c r="J174" s="64">
        <f>IFERROR(VLOOKUP(J$4,PICU!$AA$5:$AI$18,2,FALSE),"")</f>
        <v>0.79655712050078242</v>
      </c>
      <c r="K174" s="64">
        <f>IFERROR(VLOOKUP(K$4,PICU!$AA$5:$AI$18,2,FALSE),"")</f>
        <v>0.77703398558187431</v>
      </c>
      <c r="L174" s="64">
        <f>IFERROR(VLOOKUP(L$4,PICU!$AA$5:$AI$18,2,FALSE),"")</f>
        <v>0.78215767634854771</v>
      </c>
      <c r="M174" s="64">
        <f>IFERROR(VLOOKUP(M$4,PICU!$AA$5:$AI$18,2,FALSE),"")</f>
        <v>0.7951370926021728</v>
      </c>
      <c r="N174" s="64">
        <f>IFERROR(VLOOKUP(N$4,PICU!$AA$5:$AI$18,2,FALSE),"")</f>
        <v>0.75413223140495866</v>
      </c>
      <c r="O174" s="64">
        <f>IFERROR(VLOOKUP(O$4,PICU!$AA$5:$AI$18,2,FALSE),"")</f>
        <v>0.77308294209702655</v>
      </c>
      <c r="P174" s="64">
        <f>IFERROR(VLOOKUP(P$4,PICU!$AA$5:$AI$18,2,FALSE),"")</f>
        <v>0.78416149068322982</v>
      </c>
      <c r="Q174" s="95" t="str">
        <f>IFERROR(VLOOKUP(Q$4,PICU!$AA$5:$AH$19,2,FALSE),"")</f>
        <v/>
      </c>
      <c r="Z174" s="133"/>
      <c r="AA174" s="133"/>
      <c r="AB174" s="133"/>
      <c r="AC174" s="133"/>
    </row>
    <row r="175" spans="2:29" x14ac:dyDescent="0.25">
      <c r="B175" s="132"/>
      <c r="C175" s="1" t="s">
        <v>1</v>
      </c>
      <c r="D175" s="110">
        <f>IFERROR(VLOOKUP(D$4,PICU!$AA$5:$AI$18,3,FALSE),"")</f>
        <v>0.97368421052631582</v>
      </c>
      <c r="E175" s="110">
        <f>IFERROR(VLOOKUP(E$4,PICU!$AA$5:$AI$18,3,FALSE),"")</f>
        <v>0.94621026894865523</v>
      </c>
      <c r="F175" s="110">
        <f>IFERROR(VLOOKUP(F$4,PICU!$AA$5:$AI$18,3,FALSE),"")</f>
        <v>0.94376528117359415</v>
      </c>
      <c r="G175" s="110">
        <f>IFERROR(VLOOKUP(G$4,PICU!$AA$5:$AI$18,3,FALSE),"")</f>
        <v>0.92383292383292381</v>
      </c>
      <c r="H175" s="110">
        <f>IFERROR(VLOOKUP(H$4,PICU!$AA$5:$AI$18,3,FALSE),"")</f>
        <v>0.83790523690773067</v>
      </c>
      <c r="I175" s="110">
        <f>IFERROR(VLOOKUP(I$4,PICU!$AA$5:$AI$18,3,FALSE),"")</f>
        <v>0.875</v>
      </c>
      <c r="J175" s="110">
        <f>IFERROR(VLOOKUP(J$4,PICU!$AA$5:$AI$18,3,FALSE),"")</f>
        <v>0.81954887218045114</v>
      </c>
      <c r="K175" s="110">
        <f>IFERROR(VLOOKUP(K$4,PICU!$AA$5:$AI$18,3,FALSE),"")</f>
        <v>0.8571428571428571</v>
      </c>
      <c r="L175" s="110">
        <f>IFERROR(VLOOKUP(L$4,PICU!$AA$5:$AI$18,3,FALSE),"")</f>
        <v>0.86901763224181361</v>
      </c>
      <c r="M175" s="110">
        <f>IFERROR(VLOOKUP(M$4,PICU!$AA$5:$AI$18,3,FALSE),"")</f>
        <v>0.8854961832061069</v>
      </c>
      <c r="N175" s="110">
        <f>IFERROR(VLOOKUP(N$4,PICU!$AA$5:$AI$18,3,FALSE),"")</f>
        <v>0.81909547738693467</v>
      </c>
      <c r="O175" s="110">
        <f>IFERROR(VLOOKUP(O$4,PICU!$AA$5:$AI$18,3,FALSE),"")</f>
        <v>0.87309644670050757</v>
      </c>
      <c r="P175" s="110">
        <f>IFERROR(VLOOKUP(P$4,PICU!$AA$5:$AI$18,3,FALSE),"")</f>
        <v>0.84444444444444444</v>
      </c>
      <c r="Q175" s="70" t="str">
        <f>IFERROR(VLOOKUP(Q$4,PICU!$AA$5:$AH$19,3,FALSE),"")</f>
        <v/>
      </c>
      <c r="Z175" s="130" t="s">
        <v>272</v>
      </c>
      <c r="AA175" s="130"/>
      <c r="AB175" s="130"/>
      <c r="AC175" s="130"/>
    </row>
    <row r="176" spans="2:29" x14ac:dyDescent="0.25">
      <c r="B176" s="132"/>
      <c r="C176" s="1" t="s">
        <v>241</v>
      </c>
      <c r="D176" s="110">
        <f>IFERROR(VLOOKUP(D$4,PICU!$AA$5:$AI$18,4,FALSE),"")</f>
        <v>0.92327365728900257</v>
      </c>
      <c r="E176" s="110">
        <f>IFERROR(VLOOKUP(E$4,PICU!$AA$5:$AI$18,4,FALSE),"")</f>
        <v>0.89294403892944041</v>
      </c>
      <c r="F176" s="110">
        <f>IFERROR(VLOOKUP(F$4,PICU!$AA$5:$AI$18,4,FALSE),"")</f>
        <v>0.88206388206388209</v>
      </c>
      <c r="G176" s="110">
        <f>IFERROR(VLOOKUP(G$4,PICU!$AA$5:$AI$18,4,FALSE),"")</f>
        <v>0.8528678304239401</v>
      </c>
      <c r="H176" s="110">
        <f>IFERROR(VLOOKUP(H$4,PICU!$AA$5:$AI$18,4,FALSE),"")</f>
        <v>0.82608695652173914</v>
      </c>
      <c r="I176" s="110">
        <f>IFERROR(VLOOKUP(I$4,PICU!$AA$5:$AI$18,4,FALSE),"")</f>
        <v>0.86265060240963853</v>
      </c>
      <c r="J176" s="110">
        <f>IFERROR(VLOOKUP(J$4,PICU!$AA$5:$AI$18,4,FALSE),"")</f>
        <v>0.84158415841584155</v>
      </c>
      <c r="K176" s="110">
        <f>IFERROR(VLOOKUP(K$4,PICU!$AA$5:$AI$18,4,FALSE),"")</f>
        <v>0.81009615384615385</v>
      </c>
      <c r="L176" s="110">
        <f>IFERROR(VLOOKUP(L$4,PICU!$AA$5:$AI$18,4,FALSE),"")</f>
        <v>0.80343980343980348</v>
      </c>
      <c r="M176" s="110">
        <f>IFERROR(VLOOKUP(M$4,PICU!$AA$5:$AI$18,4,FALSE),"")</f>
        <v>0.82107843137254899</v>
      </c>
      <c r="N176" s="110">
        <f>IFERROR(VLOOKUP(N$4,PICU!$AA$5:$AI$18,4,FALSE),"")</f>
        <v>0.81021897810218979</v>
      </c>
      <c r="O176" s="110">
        <f>IFERROR(VLOOKUP(O$4,PICU!$AA$5:$AI$18,4,FALSE),"")</f>
        <v>0.80952380952380953</v>
      </c>
      <c r="P176" s="110">
        <f>IFERROR(VLOOKUP(P$4,PICU!$AA$5:$AI$18,4,FALSE),"")</f>
        <v>0.85499999999999998</v>
      </c>
      <c r="Q176" s="70" t="str">
        <f>IFERROR(VLOOKUP(Q$4,PICU!$AA$5:$AH$19,4,FALSE),"")</f>
        <v/>
      </c>
      <c r="Z176" s="130"/>
      <c r="AA176" s="130"/>
      <c r="AB176" s="130"/>
      <c r="AC176" s="130"/>
    </row>
    <row r="177" spans="2:29" x14ac:dyDescent="0.25">
      <c r="B177" s="132"/>
      <c r="C177" s="1" t="s">
        <v>281</v>
      </c>
      <c r="D177" s="110">
        <f>IFERROR(VLOOKUP(D$4,PICU!$AA$5:$AI$18,8,FALSE),"")</f>
        <v>0.7142857142857143</v>
      </c>
      <c r="E177" s="110">
        <f>IFERROR(VLOOKUP(E$4,PICU!$AA$5:$AI$18,8,FALSE),"")</f>
        <v>0.5892857142857143</v>
      </c>
      <c r="F177" s="110">
        <f>IFERROR(VLOOKUP(F$4,PICU!$AA$5:$AI$18,8,FALSE),"")</f>
        <v>0.6071428571428571</v>
      </c>
      <c r="G177" s="110">
        <f>IFERROR(VLOOKUP(G$4,PICU!$AA$5:$AI$18,8,FALSE),"")</f>
        <v>0.6071428571428571</v>
      </c>
      <c r="H177" s="110">
        <f>IFERROR(VLOOKUP(H$4,PICU!$AA$5:$AI$18,8,FALSE),"")</f>
        <v>0.6071428571428571</v>
      </c>
      <c r="I177" s="110">
        <f>IFERROR(VLOOKUP(I$4,PICU!$AA$5:$AI$18,8,FALSE),"")</f>
        <v>0.5178571428571429</v>
      </c>
      <c r="J177" s="110">
        <f>IFERROR(VLOOKUP(J$4,PICU!$AA$5:$AI$18,8,FALSE),"")</f>
        <v>0.44642857142857145</v>
      </c>
      <c r="K177" s="110">
        <f>IFERROR(VLOOKUP(K$4,PICU!$AA$5:$AI$18,8,FALSE),"")</f>
        <v>0.5</v>
      </c>
      <c r="L177" s="110">
        <f>IFERROR(VLOOKUP(L$4,PICU!$AA$5:$AI$18,8,FALSE),"")</f>
        <v>0.4107142857142857</v>
      </c>
      <c r="M177" s="110">
        <f>IFERROR(VLOOKUP(M$4,PICU!$AA$5:$AI$18,8,FALSE),"")</f>
        <v>0.32142857142857145</v>
      </c>
      <c r="N177" s="110">
        <f>IFERROR(VLOOKUP(N$4,PICU!$AA$5:$AI$18,8,FALSE),"")</f>
        <v>0.3392857142857143</v>
      </c>
      <c r="O177" s="110">
        <f>IFERROR(VLOOKUP(O$4,PICU!$AA$5:$AI$18,8,FALSE),"")</f>
        <v>0.30357142857142855</v>
      </c>
      <c r="P177" s="110">
        <f>IFERROR(VLOOKUP(P$4,PICU!$AA$5:$AI$18,8,FALSE),"")</f>
        <v>0.26785714285714285</v>
      </c>
      <c r="Q177" s="70"/>
      <c r="Z177" s="130"/>
      <c r="AA177" s="130"/>
      <c r="AB177" s="130"/>
      <c r="AC177" s="130"/>
    </row>
    <row r="178" spans="2:29" x14ac:dyDescent="0.25">
      <c r="B178" s="132"/>
      <c r="C178" s="1" t="s">
        <v>282</v>
      </c>
      <c r="D178" s="110">
        <f>IFERROR(VLOOKUP(D$4,PICU!$AA$5:$AI$18,5,FALSE),"")</f>
        <v>0.7068965517241379</v>
      </c>
      <c r="E178" s="110">
        <f>IFERROR(VLOOKUP(E$4,PICU!$AA$5:$AI$18,5,FALSE),"")</f>
        <v>0.71287128712871284</v>
      </c>
      <c r="F178" s="110">
        <f>IFERROR(VLOOKUP(F$4,PICU!$AA$5:$AI$18,5,FALSE),"")</f>
        <v>0.70443349753694584</v>
      </c>
      <c r="G178" s="110">
        <f>IFERROR(VLOOKUP(G$4,PICU!$AA$5:$AI$18,5,FALSE),"")</f>
        <v>0.63925729442970824</v>
      </c>
      <c r="H178" s="110">
        <f>IFERROR(VLOOKUP(H$4,PICU!$AA$5:$AI$18,5,FALSE),"")</f>
        <v>0.68617021276595747</v>
      </c>
      <c r="I178" s="110">
        <f>IFERROR(VLOOKUP(I$4,PICU!$AA$5:$AI$18,5,FALSE),"")</f>
        <v>0.68617021276595747</v>
      </c>
      <c r="J178" s="110">
        <f>IFERROR(VLOOKUP(J$4,PICU!$AA$5:$AI$18,5,FALSE),"")</f>
        <v>0.70588235294117652</v>
      </c>
      <c r="K178" s="110">
        <f>IFERROR(VLOOKUP(K$4,PICU!$AA$5:$AI$18,5,FALSE),"")</f>
        <v>0.69047619047619047</v>
      </c>
      <c r="L178" s="110">
        <f>IFERROR(VLOOKUP(L$4,PICU!$AA$5:$AI$18,5,FALSE),"")</f>
        <v>0.61599999999999999</v>
      </c>
      <c r="M178" s="110">
        <f>IFERROR(VLOOKUP(M$4,PICU!$AA$5:$AI$18,5,FALSE),"")</f>
        <v>0.66402116402116407</v>
      </c>
      <c r="N178" s="110">
        <f>IFERROR(VLOOKUP(N$4,PICU!$AA$5:$AI$18,5,FALSE),"")</f>
        <v>0.66666666666666663</v>
      </c>
      <c r="O178" s="110">
        <f>IFERROR(VLOOKUP(O$4,PICU!$AA$5:$AI$18,5,FALSE),"")</f>
        <v>0.70744680851063835</v>
      </c>
      <c r="P178" s="110">
        <f>IFERROR(VLOOKUP(P$4,PICU!$AA$5:$AI$18,5,FALSE),"")</f>
        <v>0.68783068783068779</v>
      </c>
      <c r="Q178" s="70"/>
      <c r="Z178" s="130"/>
      <c r="AA178" s="130"/>
      <c r="AB178" s="130"/>
      <c r="AC178" s="130"/>
    </row>
    <row r="179" spans="2:29" x14ac:dyDescent="0.25">
      <c r="B179" s="132"/>
      <c r="C179" s="1" t="s">
        <v>284</v>
      </c>
      <c r="D179" s="110">
        <f>IFERROR(VLOOKUP(D$4,PICU!$AA$5:$AI$18,9,FALSE),"")</f>
        <v>0.91714285714285715</v>
      </c>
      <c r="E179" s="110">
        <f>IFERROR(VLOOKUP(E$4,PICU!$AA$5:$AI$18,9,FALSE),"")</f>
        <v>0.86285714285714288</v>
      </c>
      <c r="F179" s="110">
        <f>IFERROR(VLOOKUP(F$4,PICU!$AA$5:$AI$18,9,FALSE),"")</f>
        <v>0.86571428571428577</v>
      </c>
      <c r="G179" s="110">
        <f>IFERROR(VLOOKUP(G$4,PICU!$AA$5:$AI$18,9,FALSE),"")</f>
        <v>0.86</v>
      </c>
      <c r="H179" s="110">
        <f>IFERROR(VLOOKUP(H$4,PICU!$AA$5:$AI$18,9,FALSE),"")</f>
        <v>0.88857142857142857</v>
      </c>
      <c r="I179" s="110">
        <f>IFERROR(VLOOKUP(I$4,PICU!$AA$5:$AI$18,9,FALSE),"")</f>
        <v>0.82285714285714284</v>
      </c>
      <c r="J179" s="110">
        <f>IFERROR(VLOOKUP(J$4,PICU!$AA$5:$AI$18,9,FALSE),"")</f>
        <v>0.88</v>
      </c>
      <c r="K179" s="110">
        <f>IFERROR(VLOOKUP(K$4,PICU!$AA$5:$AI$18,9,FALSE),"")</f>
        <v>0.83714285714285719</v>
      </c>
      <c r="L179" s="110">
        <f>IFERROR(VLOOKUP(L$4,PICU!$AA$5:$AI$18,9,FALSE),"")</f>
        <v>0.83142857142857141</v>
      </c>
      <c r="M179" s="110">
        <f>IFERROR(VLOOKUP(M$4,PICU!$AA$5:$AI$18,9,FALSE),"")</f>
        <v>0.84</v>
      </c>
      <c r="N179" s="110">
        <f>IFERROR(VLOOKUP(N$4,PICU!$AA$5:$AI$18,9,FALSE),"")</f>
        <v>0.85142857142857142</v>
      </c>
      <c r="O179" s="110">
        <f>IFERROR(VLOOKUP(O$4,PICU!$AA$5:$AI$18,9,FALSE),"")</f>
        <v>0.7857142857142857</v>
      </c>
      <c r="P179" s="110">
        <f>IFERROR(VLOOKUP(P$4,PICU!$AA$5:$AI$18,9,FALSE),"")</f>
        <v>0.87142857142857144</v>
      </c>
      <c r="Q179" s="70" t="str">
        <f>IFERROR(VLOOKUP(Q$4,PICU!$AA$5:$AH$19,5,FALSE),"")</f>
        <v/>
      </c>
      <c r="Z179" s="130"/>
      <c r="AA179" s="130"/>
      <c r="AB179" s="130"/>
      <c r="AC179" s="130"/>
    </row>
    <row r="180" spans="2:29" ht="16.5" customHeight="1" x14ac:dyDescent="0.25">
      <c r="B180" s="132"/>
      <c r="C180" s="1" t="s">
        <v>238</v>
      </c>
      <c r="D180" s="110">
        <f>IFERROR(VLOOKUP(D$4,PICU!$AA$5:$AI$18,6,FALSE),"")</f>
        <v>0.80769230769230771</v>
      </c>
      <c r="E180" s="110">
        <f>IFERROR(VLOOKUP(E$4,PICU!$AA$5:$AI$18,6,FALSE),"")</f>
        <v>0.8571428571428571</v>
      </c>
      <c r="F180" s="110">
        <f>IFERROR(VLOOKUP(F$4,PICU!$AA$5:$AI$18,6,FALSE),"")</f>
        <v>0.90134529147982068</v>
      </c>
      <c r="G180" s="110">
        <f>IFERROR(VLOOKUP(G$4,PICU!$AA$5:$AI$18,6,FALSE),"")</f>
        <v>0.82110091743119262</v>
      </c>
      <c r="H180" s="110">
        <f>IFERROR(VLOOKUP(H$4,PICU!$AA$5:$AI$18,6,FALSE),"")</f>
        <v>0.75</v>
      </c>
      <c r="I180" s="110">
        <f>IFERROR(VLOOKUP(I$4,PICU!$AA$5:$AI$18,6,FALSE),"")</f>
        <v>0.71212121212121215</v>
      </c>
      <c r="J180" s="110">
        <f>IFERROR(VLOOKUP(J$4,PICU!$AA$5:$AI$18,6,FALSE),"")</f>
        <v>0.68932038834951459</v>
      </c>
      <c r="K180" s="110">
        <f>IFERROR(VLOOKUP(K$4,PICU!$AA$5:$AI$18,6,FALSE),"")</f>
        <v>0.59907834101382484</v>
      </c>
      <c r="L180" s="110">
        <f>IFERROR(VLOOKUP(L$4,PICU!$AA$5:$AI$18,6,FALSE),"")</f>
        <v>0.78801843317972353</v>
      </c>
      <c r="M180" s="110">
        <f>IFERROR(VLOOKUP(M$4,PICU!$AA$5:$AI$18,6,FALSE),"")</f>
        <v>0.84090909090909094</v>
      </c>
      <c r="N180" s="110">
        <f>IFERROR(VLOOKUP(N$4,PICU!$AA$5:$AI$18,6,FALSE),"")</f>
        <v>0.62672811059907829</v>
      </c>
      <c r="O180" s="110">
        <f>IFERROR(VLOOKUP(O$4,PICU!$AA$5:$AI$18,6,FALSE),"")</f>
        <v>0.71759259259259256</v>
      </c>
      <c r="P180" s="110">
        <f>IFERROR(VLOOKUP(P$4,PICU!$AA$5:$AI$18,6,FALSE),"")</f>
        <v>0.70046082949308752</v>
      </c>
      <c r="Q180" s="70" t="str">
        <f>IFERROR(VLOOKUP(Q$4,PICU!$AA$5:$AH$19,6,FALSE),"")</f>
        <v/>
      </c>
      <c r="Z180" s="130"/>
      <c r="AA180" s="130"/>
      <c r="AB180" s="130"/>
      <c r="AC180" s="130"/>
    </row>
    <row r="181" spans="2:29" ht="16.5" customHeight="1" x14ac:dyDescent="0.25">
      <c r="B181" s="132"/>
      <c r="C181" s="11" t="s">
        <v>239</v>
      </c>
      <c r="D181" s="110">
        <f>IFERROR(VLOOKUP(D$4,PICU!$AA$5:$AI$18,7,FALSE),"")</f>
        <v>0.92063492063492058</v>
      </c>
      <c r="E181" s="110">
        <f>IFERROR(VLOOKUP(E$4,PICU!$AA$5:$AI$18,7,FALSE),"")</f>
        <v>0.96031746031746035</v>
      </c>
      <c r="F181" s="110">
        <f>IFERROR(VLOOKUP(F$4,PICU!$AA$5:$AI$18,7,FALSE),"")</f>
        <v>0.953125</v>
      </c>
      <c r="G181" s="110">
        <f>IFERROR(VLOOKUP(G$4,PICU!$AA$5:$AI$18,7,FALSE),"")</f>
        <v>0.90476190476190477</v>
      </c>
      <c r="H181" s="110">
        <f>IFERROR(VLOOKUP(H$4,PICU!$AA$5:$AI$18,7,FALSE),"")</f>
        <v>0.89814814814814814</v>
      </c>
      <c r="I181" s="110">
        <f>IFERROR(VLOOKUP(I$4,PICU!$AA$5:$AI$18,7,FALSE),"")</f>
        <v>0.90551181102362199</v>
      </c>
      <c r="J181" s="110">
        <f>IFERROR(VLOOKUP(J$4,PICU!$AA$5:$AI$18,7,FALSE),"")</f>
        <v>0.9453125</v>
      </c>
      <c r="K181" s="110">
        <f>IFERROR(VLOOKUP(K$4,PICU!$AA$5:$AI$18,7,FALSE),"")</f>
        <v>0.93650793650793651</v>
      </c>
      <c r="L181" s="110">
        <f>IFERROR(VLOOKUP(L$4,PICU!$AA$5:$AI$18,7,FALSE),"")</f>
        <v>0.95238095238095233</v>
      </c>
      <c r="M181" s="110">
        <f>IFERROR(VLOOKUP(M$4,PICU!$AA$5:$AI$18,7,FALSE),"")</f>
        <v>0.828125</v>
      </c>
      <c r="N181" s="110">
        <f>IFERROR(VLOOKUP(N$4,PICU!$AA$5:$AI$18,7,FALSE),"")</f>
        <v>0.76190476190476186</v>
      </c>
      <c r="O181" s="110">
        <f>IFERROR(VLOOKUP(O$4,PICU!$AA$5:$AI$18,7,FALSE),"")</f>
        <v>0.80952380952380953</v>
      </c>
      <c r="P181" s="110">
        <f>IFERROR(VLOOKUP(P$4,PICU!$AA$5:$AI$18,7,FALSE),"")</f>
        <v>0.7857142857142857</v>
      </c>
      <c r="Q181" s="70" t="str">
        <f>IFERROR(VLOOKUP(Q$4,PICU!$AA$5:$AH$19,7,FALSE),"")</f>
        <v/>
      </c>
      <c r="Z181" s="130"/>
      <c r="AA181" s="130"/>
      <c r="AB181" s="130"/>
      <c r="AC181" s="130"/>
    </row>
    <row r="182" spans="2:29" x14ac:dyDescent="0.25">
      <c r="B182" s="132"/>
      <c r="C182" s="11"/>
      <c r="D182" s="65"/>
      <c r="E182" s="65"/>
      <c r="F182" s="65"/>
      <c r="G182" s="65"/>
      <c r="H182" s="65"/>
      <c r="I182" s="65"/>
      <c r="J182" s="65"/>
      <c r="K182" s="65"/>
      <c r="L182" s="65"/>
      <c r="M182" s="65"/>
      <c r="N182" s="65"/>
      <c r="O182" s="65"/>
      <c r="P182" s="65"/>
      <c r="Q182" s="65"/>
      <c r="Z182" s="130"/>
      <c r="AA182" s="130"/>
      <c r="AB182" s="130"/>
      <c r="AC182" s="130"/>
    </row>
    <row r="183" spans="2:29" x14ac:dyDescent="0.25">
      <c r="B183" s="132"/>
      <c r="C183" s="12" t="s">
        <v>18</v>
      </c>
      <c r="D183" s="126">
        <v>64.571428571428569</v>
      </c>
      <c r="E183" s="126">
        <v>61.285714285714285</v>
      </c>
      <c r="F183" s="126">
        <v>75.714285714285708</v>
      </c>
      <c r="G183" s="126">
        <v>84.571428571428569</v>
      </c>
      <c r="H183" s="126">
        <v>85.142857142857139</v>
      </c>
      <c r="I183" s="126">
        <v>95.285714285714292</v>
      </c>
      <c r="J183" s="126">
        <v>83</v>
      </c>
      <c r="K183" s="126">
        <v>84.571428571428569</v>
      </c>
      <c r="L183" s="126">
        <v>78.571428571428569</v>
      </c>
      <c r="M183" s="126">
        <v>86.428571428571431</v>
      </c>
      <c r="N183" s="126">
        <v>80.571428571428569</v>
      </c>
      <c r="O183" s="126">
        <v>88.857142857142861</v>
      </c>
      <c r="P183" s="126">
        <v>98</v>
      </c>
      <c r="Z183" s="130"/>
      <c r="AA183" s="130"/>
      <c r="AB183" s="130"/>
      <c r="AC183" s="130"/>
    </row>
    <row r="184" spans="2:29" x14ac:dyDescent="0.25">
      <c r="B184" s="132"/>
      <c r="C184" s="11" t="s">
        <v>234</v>
      </c>
      <c r="D184" s="30">
        <v>59.142857142857146</v>
      </c>
      <c r="E184" s="30">
        <v>76.428571428571431</v>
      </c>
      <c r="F184" s="30">
        <v>68.571428571428569</v>
      </c>
      <c r="G184" s="30">
        <v>80.571428571428569</v>
      </c>
      <c r="H184" s="30">
        <v>90.428571428571431</v>
      </c>
      <c r="I184" s="30">
        <v>60.142857142857146</v>
      </c>
      <c r="J184" s="30">
        <v>52.285714285714285</v>
      </c>
      <c r="K184" s="30">
        <v>55.428571428571431</v>
      </c>
      <c r="L184" s="30">
        <v>55.142857142857146</v>
      </c>
      <c r="M184" s="30">
        <v>58.714285714285715</v>
      </c>
      <c r="N184" s="30">
        <v>59.142857142857146</v>
      </c>
      <c r="O184" s="30">
        <v>63.571428571428569</v>
      </c>
      <c r="P184" s="30">
        <v>69.571428571428569</v>
      </c>
      <c r="Z184" s="130"/>
      <c r="AA184" s="130"/>
      <c r="AB184" s="130"/>
      <c r="AC184" s="130"/>
    </row>
    <row r="185" spans="2:29" ht="7.5" customHeight="1" x14ac:dyDescent="0.25">
      <c r="B185" s="132"/>
      <c r="Z185" s="130"/>
      <c r="AA185" s="130"/>
      <c r="AB185" s="130"/>
      <c r="AC185" s="130"/>
    </row>
    <row r="186" spans="2:29" x14ac:dyDescent="0.25">
      <c r="B186" s="132"/>
      <c r="C186" s="16" t="s">
        <v>268</v>
      </c>
      <c r="D186" s="63">
        <f>IFERROR(VLOOKUP(D$4,PICU!$BM$5:'PICU'!$BU$18,2,FALSE),"")</f>
        <v>37.142857142857146</v>
      </c>
      <c r="E186" s="63">
        <f>IFERROR(VLOOKUP(E$4,PICU!$BM$5:'PICU'!$BU$18,2,FALSE),"")</f>
        <v>41.285714285714285</v>
      </c>
      <c r="F186" s="63">
        <f>IFERROR(VLOOKUP(F$4,PICU!$BM$5:'PICU'!$BU$18,2,FALSE),"")</f>
        <v>41.142857142857146</v>
      </c>
      <c r="G186" s="63">
        <f>IFERROR(VLOOKUP(G$4,PICU!$BM$5:'PICU'!$BU$18,2,FALSE),"")</f>
        <v>49.714285714285715</v>
      </c>
      <c r="H186" s="63">
        <f>IFERROR(VLOOKUP(H$4,PICU!$BM$5:'PICU'!$BU$18,2,FALSE),"")</f>
        <v>54.714285714285715</v>
      </c>
      <c r="I186" s="63">
        <f>IFERROR(VLOOKUP(I$4,PICU!$BM$5:'PICU'!$BU$18,2,FALSE),"")</f>
        <v>54.714285714285715</v>
      </c>
      <c r="J186" s="63">
        <f>IFERROR(VLOOKUP(J$4,PICU!$BM$5:'PICU'!$BU$18,2,FALSE),"")</f>
        <v>55.714285714285715</v>
      </c>
      <c r="K186" s="63">
        <f>IFERROR(VLOOKUP(K$4,PICU!$BM$5:'PICU'!$BU$18,2,FALSE),"")</f>
        <v>61.857142857142854</v>
      </c>
      <c r="L186" s="63">
        <f>IFERROR(VLOOKUP(L$4,PICU!$BM$5:'PICU'!$BU$18,2,FALSE),"")</f>
        <v>60</v>
      </c>
      <c r="M186" s="63">
        <f>IFERROR(VLOOKUP(M$4,PICU!$BM$5:'PICU'!$BU$18,2,FALSE),"")</f>
        <v>56.571428571428569</v>
      </c>
      <c r="N186" s="63">
        <f>IFERROR(VLOOKUP(N$4,PICU!$BM$5:'PICU'!$BU$18,2,FALSE),"")</f>
        <v>68</v>
      </c>
      <c r="O186" s="63">
        <f>IFERROR(VLOOKUP(O$4,PICU!$BM$5:'PICU'!$BU$18,2,FALSE),"")</f>
        <v>62.142857142857146</v>
      </c>
      <c r="P186" s="63">
        <f>IFERROR(VLOOKUP(P$4,PICU!$BM$5:'PICU'!$BU$18,2,FALSE),"")</f>
        <v>59.571428571428569</v>
      </c>
      <c r="Q186" s="96" t="str">
        <f>IFERROR(VLOOKUP(Q$4,PICU!$BM$5:'PICU'!$BT$19,2,FALSE),"")</f>
        <v/>
      </c>
      <c r="Z186" s="130"/>
      <c r="AA186" s="130"/>
      <c r="AB186" s="130"/>
      <c r="AC186" s="130"/>
    </row>
    <row r="187" spans="2:29" x14ac:dyDescent="0.25">
      <c r="B187" s="132"/>
      <c r="C187" s="1" t="s">
        <v>1</v>
      </c>
      <c r="D187" s="109">
        <f>IFERROR(VLOOKUP(D$4,PICU!$BM$5:'PICU'!$BU$18,3,FALSE),"")</f>
        <v>1.5714285714285714</v>
      </c>
      <c r="E187" s="109">
        <f>IFERROR(VLOOKUP(E$4,PICU!$BM$5:'PICU'!$BU$18,3,FALSE),"")</f>
        <v>3.1428571428571428</v>
      </c>
      <c r="F187" s="109">
        <f>IFERROR(VLOOKUP(F$4,PICU!$BM$5:'PICU'!$BU$18,3,FALSE),"")</f>
        <v>3.2857142857142856</v>
      </c>
      <c r="G187" s="109">
        <f>IFERROR(VLOOKUP(G$4,PICU!$BM$5:'PICU'!$BU$18,3,FALSE),"")</f>
        <v>4.4285714285714288</v>
      </c>
      <c r="H187" s="109">
        <f>IFERROR(VLOOKUP(H$4,PICU!$BM$5:'PICU'!$BU$18,3,FALSE),"")</f>
        <v>9.2857142857142865</v>
      </c>
      <c r="I187" s="109">
        <f>IFERROR(VLOOKUP(I$4,PICU!$BM$5:'PICU'!$BU$18,3,FALSE),"")</f>
        <v>7.1428571428571432</v>
      </c>
      <c r="J187" s="109">
        <f>IFERROR(VLOOKUP(J$4,PICU!$BM$5:'PICU'!$BU$18,3,FALSE),"")</f>
        <v>10.285714285714286</v>
      </c>
      <c r="K187" s="109">
        <f>IFERROR(VLOOKUP(K$4,PICU!$BM$5:'PICU'!$BU$18,3,FALSE),"")</f>
        <v>8.1428571428571423</v>
      </c>
      <c r="L187" s="109">
        <f>IFERROR(VLOOKUP(L$4,PICU!$BM$5:'PICU'!$BU$18,3,FALSE),"")</f>
        <v>7.4285714285714288</v>
      </c>
      <c r="M187" s="109">
        <f>IFERROR(VLOOKUP(M$4,PICU!$BM$5:'PICU'!$BU$18,3,FALSE),"")</f>
        <v>6.4285714285714288</v>
      </c>
      <c r="N187" s="109">
        <f>IFERROR(VLOOKUP(N$4,PICU!$BM$5:'PICU'!$BU$18,3,FALSE),"")</f>
        <v>10.285714285714286</v>
      </c>
      <c r="O187" s="109">
        <f>IFERROR(VLOOKUP(O$4,PICU!$BM$5:'PICU'!$BU$18,3,FALSE),"")</f>
        <v>7.1428571428571432</v>
      </c>
      <c r="P187" s="109">
        <f>IFERROR(VLOOKUP(P$4,PICU!$BM$5:'PICU'!$BU$18,3,FALSE),"")</f>
        <v>9</v>
      </c>
      <c r="Q187" s="97" t="str">
        <f>IFERROR(VLOOKUP(Q$4,PICU!$BM$5:'PICU'!$BT$19,3,FALSE),"")</f>
        <v/>
      </c>
      <c r="T187" s="3"/>
      <c r="Z187" s="130"/>
      <c r="AA187" s="130"/>
      <c r="AB187" s="130"/>
      <c r="AC187" s="130"/>
    </row>
    <row r="188" spans="2:29" x14ac:dyDescent="0.25">
      <c r="B188" s="132"/>
      <c r="C188" s="1" t="s">
        <v>241</v>
      </c>
      <c r="D188" s="109">
        <f>IFERROR(VLOOKUP(D$4,PICU!$BM$5:'PICU'!$BU$18,4,FALSE),"")</f>
        <v>4.2857142857142856</v>
      </c>
      <c r="E188" s="109">
        <f>IFERROR(VLOOKUP(E$4,PICU!$BM$5:'PICU'!$BU$18,4,FALSE),"")</f>
        <v>6.2857142857142856</v>
      </c>
      <c r="F188" s="109">
        <f>IFERROR(VLOOKUP(F$4,PICU!$BM$5:'PICU'!$BU$18,4,FALSE),"")</f>
        <v>6.8571428571428568</v>
      </c>
      <c r="G188" s="109">
        <f>IFERROR(VLOOKUP(G$4,PICU!$BM$5:'PICU'!$BU$18,4,FALSE),"")</f>
        <v>8.4285714285714288</v>
      </c>
      <c r="H188" s="109">
        <f>IFERROR(VLOOKUP(H$4,PICU!$BM$5:'PICU'!$BU$18,4,FALSE),"")</f>
        <v>10.285714285714286</v>
      </c>
      <c r="I188" s="109">
        <f>IFERROR(VLOOKUP(I$4,PICU!$BM$5:'PICU'!$BU$18,4,FALSE),"")</f>
        <v>8.1428571428571423</v>
      </c>
      <c r="J188" s="109">
        <f>IFERROR(VLOOKUP(J$4,PICU!$BM$5:'PICU'!$BU$18,4,FALSE),"")</f>
        <v>9.1428571428571423</v>
      </c>
      <c r="K188" s="109">
        <f>IFERROR(VLOOKUP(K$4,PICU!$BM$5:'PICU'!$BU$18,4,FALSE),"")</f>
        <v>11.285714285714286</v>
      </c>
      <c r="L188" s="109">
        <f>IFERROR(VLOOKUP(L$4,PICU!$BM$5:'PICU'!$BU$18,4,FALSE),"")</f>
        <v>11.428571428571429</v>
      </c>
      <c r="M188" s="109">
        <f>IFERROR(VLOOKUP(M$4,PICU!$BM$5:'PICU'!$BU$18,4,FALSE),"")</f>
        <v>10.428571428571429</v>
      </c>
      <c r="N188" s="109">
        <f>IFERROR(VLOOKUP(N$4,PICU!$BM$5:'PICU'!$BU$18,4,FALSE),"")</f>
        <v>11.142857142857142</v>
      </c>
      <c r="O188" s="109">
        <f>IFERROR(VLOOKUP(O$4,PICU!$BM$5:'PICU'!$BU$18,4,FALSE),"")</f>
        <v>10.857142857142858</v>
      </c>
      <c r="P188" s="109">
        <f>IFERROR(VLOOKUP(P$4,PICU!$BM$5:'PICU'!$BU$18,4,FALSE),"")</f>
        <v>8.2857142857142865</v>
      </c>
      <c r="Q188" s="97" t="str">
        <f>IFERROR(VLOOKUP(Q$4,PICU!$BM$5:'PICU'!$BT$19,4,FALSE),"")</f>
        <v/>
      </c>
      <c r="Z188" s="130"/>
      <c r="AA188" s="130"/>
      <c r="AB188" s="130"/>
      <c r="AC188" s="130"/>
    </row>
    <row r="189" spans="2:29" x14ac:dyDescent="0.25">
      <c r="B189" s="132"/>
      <c r="C189" s="1" t="s">
        <v>281</v>
      </c>
      <c r="D189" s="109">
        <f>IFERROR(VLOOKUP(D$4,PICU!$BM$5:'PICU'!$BU$18,8,FALSE),"")</f>
        <v>2.2857142857142856</v>
      </c>
      <c r="E189" s="109">
        <f>IFERROR(VLOOKUP(E$4,PICU!$BM$5:'PICU'!$BU$18,8,FALSE),"")</f>
        <v>3.2857142857142856</v>
      </c>
      <c r="F189" s="109">
        <f>IFERROR(VLOOKUP(F$4,PICU!$BM$5:'PICU'!$BU$18,8,FALSE),"")</f>
        <v>3.1428571428571428</v>
      </c>
      <c r="G189" s="109">
        <f>IFERROR(VLOOKUP(G$4,PICU!$BM$5:'PICU'!$BU$18,8,FALSE),"")</f>
        <v>3.1428571428571428</v>
      </c>
      <c r="H189" s="109">
        <f>IFERROR(VLOOKUP(H$4,PICU!$BM$5:'PICU'!$BU$18,8,FALSE),"")</f>
        <v>3.1428571428571428</v>
      </c>
      <c r="I189" s="109">
        <f>IFERROR(VLOOKUP(I$4,PICU!$BM$5:'PICU'!$BU$18,8,FALSE),"")</f>
        <v>3.8571428571428572</v>
      </c>
      <c r="J189" s="109">
        <f>IFERROR(VLOOKUP(J$4,PICU!$BM$5:'PICU'!$BU$18,8,FALSE),"")</f>
        <v>4.4285714285714288</v>
      </c>
      <c r="K189" s="109">
        <f>IFERROR(VLOOKUP(K$4,PICU!$BM$5:'PICU'!$BU$18,8,FALSE),"")</f>
        <v>4</v>
      </c>
      <c r="L189" s="109">
        <f>IFERROR(VLOOKUP(L$4,PICU!$BM$5:'PICU'!$BU$18,8,FALSE),"")</f>
        <v>4.7142857142857144</v>
      </c>
      <c r="M189" s="109">
        <f>IFERROR(VLOOKUP(M$4,PICU!$BM$5:'PICU'!$BU$18,8,FALSE),"")</f>
        <v>5.4285714285714288</v>
      </c>
      <c r="N189" s="109">
        <f>IFERROR(VLOOKUP(N$4,PICU!$BM$5:'PICU'!$BU$18,8,FALSE),"")</f>
        <v>5.2857142857142856</v>
      </c>
      <c r="O189" s="109">
        <f>IFERROR(VLOOKUP(O$4,PICU!$BM$5:'PICU'!$BU$18,8,FALSE),"")</f>
        <v>5.5714285714285712</v>
      </c>
      <c r="P189" s="109">
        <f>IFERROR(VLOOKUP(P$4,PICU!$BM$5:'PICU'!$BU$18,8,FALSE),"")</f>
        <v>5.8571428571428568</v>
      </c>
      <c r="Q189" s="97"/>
      <c r="Z189" s="130"/>
      <c r="AA189" s="130"/>
      <c r="AB189" s="130"/>
      <c r="AC189" s="130"/>
    </row>
    <row r="190" spans="2:29" x14ac:dyDescent="0.25">
      <c r="B190" s="132"/>
      <c r="C190" s="1" t="s">
        <v>282</v>
      </c>
      <c r="D190" s="109">
        <f>IFERROR(VLOOKUP(D$4,PICU!$BM$5:'PICU'!$BU$18,5,FALSE),"")</f>
        <v>17</v>
      </c>
      <c r="E190" s="109">
        <f>IFERROR(VLOOKUP(E$4,PICU!$BM$5:'PICU'!$BU$18,5,FALSE),"")</f>
        <v>16.571428571428573</v>
      </c>
      <c r="F190" s="109">
        <f>IFERROR(VLOOKUP(F$4,PICU!$BM$5:'PICU'!$BU$18,5,FALSE),"")</f>
        <v>17.142857142857142</v>
      </c>
      <c r="G190" s="109">
        <f>IFERROR(VLOOKUP(G$4,PICU!$BM$5:'PICU'!$BU$18,5,FALSE),"")</f>
        <v>19.428571428571427</v>
      </c>
      <c r="H190" s="109">
        <f>IFERROR(VLOOKUP(H$4,PICU!$BM$5:'PICU'!$BU$18,5,FALSE),"")</f>
        <v>16.857142857142858</v>
      </c>
      <c r="I190" s="109">
        <f>IFERROR(VLOOKUP(I$4,PICU!$BM$5:'PICU'!$BU$18,5,FALSE),"")</f>
        <v>16.857142857142858</v>
      </c>
      <c r="J190" s="109">
        <f>IFERROR(VLOOKUP(J$4,PICU!$BM$5:'PICU'!$BU$18,5,FALSE),"")</f>
        <v>15.714285714285714</v>
      </c>
      <c r="K190" s="109">
        <f>IFERROR(VLOOKUP(K$4,PICU!$BM$5:'PICU'!$BU$18,5,FALSE),"")</f>
        <v>16.714285714285715</v>
      </c>
      <c r="L190" s="109">
        <f>IFERROR(VLOOKUP(L$4,PICU!$BM$5:'PICU'!$BU$18,5,FALSE),"")</f>
        <v>20.571428571428573</v>
      </c>
      <c r="M190" s="109">
        <f>IFERROR(VLOOKUP(M$4,PICU!$BM$5:'PICU'!$BU$18,5,FALSE),"")</f>
        <v>18.142857142857142</v>
      </c>
      <c r="N190" s="109">
        <f>IFERROR(VLOOKUP(N$4,PICU!$BM$5:'PICU'!$BU$18,5,FALSE),"")</f>
        <v>18</v>
      </c>
      <c r="O190" s="109">
        <f>IFERROR(VLOOKUP(O$4,PICU!$BM$5:'PICU'!$BU$18,5,FALSE),"")</f>
        <v>15.714285714285714</v>
      </c>
      <c r="P190" s="109">
        <f>IFERROR(VLOOKUP(P$4,PICU!$BM$5:'PICU'!$BU$18,5,FALSE),"")</f>
        <v>16.857142857142858</v>
      </c>
      <c r="Q190" s="97"/>
      <c r="Z190" s="130"/>
      <c r="AA190" s="130"/>
      <c r="AB190" s="130"/>
      <c r="AC190" s="130"/>
    </row>
    <row r="191" spans="2:29" x14ac:dyDescent="0.25">
      <c r="B191" s="132"/>
      <c r="C191" s="1" t="s">
        <v>284</v>
      </c>
      <c r="D191" s="109">
        <f>IFERROR(VLOOKUP(D$4,PICU!$BM$5:'PICU'!$BU$18,9,FALSE),"")</f>
        <v>4.1428571428571432</v>
      </c>
      <c r="E191" s="109">
        <f>IFERROR(VLOOKUP(E$4,PICU!$BM$5:'PICU'!$BU$18,9,FALSE),"")</f>
        <v>6.8571428571428568</v>
      </c>
      <c r="F191" s="109">
        <f>IFERROR(VLOOKUP(F$4,PICU!$BM$5:'PICU'!$BU$18,9,FALSE),"")</f>
        <v>6.7142857142857144</v>
      </c>
      <c r="G191" s="109">
        <f>IFERROR(VLOOKUP(G$4,PICU!$BM$5:'PICU'!$BU$18,9,FALSE),"")</f>
        <v>7</v>
      </c>
      <c r="H191" s="109">
        <f>IFERROR(VLOOKUP(H$4,PICU!$BM$5:'PICU'!$BU$18,9,FALSE),"")</f>
        <v>5.5714285714285712</v>
      </c>
      <c r="I191" s="109">
        <f>IFERROR(VLOOKUP(I$4,PICU!$BM$5:'PICU'!$BU$18,9,FALSE),"")</f>
        <v>8.8571428571428577</v>
      </c>
      <c r="J191" s="109">
        <f>IFERROR(VLOOKUP(J$4,PICU!$BM$5:'PICU'!$BU$18,9,FALSE),"")</f>
        <v>6</v>
      </c>
      <c r="K191" s="109">
        <f>IFERROR(VLOOKUP(K$4,PICU!$BM$5:'PICU'!$BU$18,9,FALSE),"")</f>
        <v>8.1428571428571423</v>
      </c>
      <c r="L191" s="109">
        <f>IFERROR(VLOOKUP(L$4,PICU!$BM$5:'PICU'!$BU$18,9,FALSE),"")</f>
        <v>8.4285714285714288</v>
      </c>
      <c r="M191" s="109">
        <f>IFERROR(VLOOKUP(M$4,PICU!$BM$5:'PICU'!$BU$18,9,FALSE),"")</f>
        <v>8</v>
      </c>
      <c r="N191" s="109">
        <f>IFERROR(VLOOKUP(N$4,PICU!$BM$5:'PICU'!$BU$18,9,FALSE),"")</f>
        <v>7.4285714285714288</v>
      </c>
      <c r="O191" s="109">
        <f>IFERROR(VLOOKUP(O$4,PICU!$BM$5:'PICU'!$BU$18,9,FALSE),"")</f>
        <v>10.714285714285714</v>
      </c>
      <c r="P191" s="109">
        <f>IFERROR(VLOOKUP(P$4,PICU!$BM$5:'PICU'!$BU$18,9,FALSE),"")</f>
        <v>6.4285714285714288</v>
      </c>
      <c r="Q191" s="97" t="str">
        <f>IFERROR(VLOOKUP(Q$4,PICU!$BM$5:'PICU'!$BT$19,5,FALSE),"")</f>
        <v/>
      </c>
      <c r="Z191" s="130"/>
      <c r="AA191" s="130"/>
      <c r="AB191" s="130"/>
      <c r="AC191" s="130"/>
    </row>
    <row r="192" spans="2:29" x14ac:dyDescent="0.25">
      <c r="B192" s="132"/>
      <c r="C192" s="1" t="s">
        <v>238</v>
      </c>
      <c r="D192" s="109">
        <f>IFERROR(VLOOKUP(D$4,PICU!$BM$5:'PICU'!$BU$18,6,FALSE),"")</f>
        <v>6.4285714285714288</v>
      </c>
      <c r="E192" s="109">
        <f>IFERROR(VLOOKUP(E$4,PICU!$BM$5:'PICU'!$BU$18,6,FALSE),"")</f>
        <v>4.4285714285714288</v>
      </c>
      <c r="F192" s="109">
        <f>IFERROR(VLOOKUP(F$4,PICU!$BM$5:'PICU'!$BU$18,6,FALSE),"")</f>
        <v>3.1428571428571428</v>
      </c>
      <c r="G192" s="109">
        <f>IFERROR(VLOOKUP(G$4,PICU!$BM$5:'PICU'!$BU$18,6,FALSE),"")</f>
        <v>5.5714285714285712</v>
      </c>
      <c r="H192" s="109">
        <f>IFERROR(VLOOKUP(H$4,PICU!$BM$5:'PICU'!$BU$18,6,FALSE),"")</f>
        <v>8</v>
      </c>
      <c r="I192" s="109">
        <f>IFERROR(VLOOKUP(I$4,PICU!$BM$5:'PICU'!$BU$18,6,FALSE),"")</f>
        <v>8.1428571428571423</v>
      </c>
      <c r="J192" s="109">
        <f>IFERROR(VLOOKUP(J$4,PICU!$BM$5:'PICU'!$BU$18,6,FALSE),"")</f>
        <v>9.1428571428571423</v>
      </c>
      <c r="K192" s="109">
        <f>IFERROR(VLOOKUP(K$4,PICU!$BM$5:'PICU'!$BU$18,6,FALSE),"")</f>
        <v>12.428571428571429</v>
      </c>
      <c r="L192" s="109">
        <f>IFERROR(VLOOKUP(L$4,PICU!$BM$5:'PICU'!$BU$18,6,FALSE),"")</f>
        <v>6.5714285714285712</v>
      </c>
      <c r="M192" s="109">
        <f>IFERROR(VLOOKUP(M$4,PICU!$BM$5:'PICU'!$BU$18,6,FALSE),"")</f>
        <v>5</v>
      </c>
      <c r="N192" s="109">
        <f>IFERROR(VLOOKUP(N$4,PICU!$BM$5:'PICU'!$BU$18,6,FALSE),"")</f>
        <v>11.571428571428571</v>
      </c>
      <c r="O192" s="109">
        <f>IFERROR(VLOOKUP(O$4,PICU!$BM$5:'PICU'!$BU$18,6,FALSE),"")</f>
        <v>8.7142857142857135</v>
      </c>
      <c r="P192" s="109">
        <f>IFERROR(VLOOKUP(P$4,PICU!$BM$5:'PICU'!$BU$18,6,FALSE),"")</f>
        <v>9.2857142857142865</v>
      </c>
      <c r="Q192" s="97" t="str">
        <f>IFERROR(VLOOKUP(Q$4,PICU!$BM$5:'PICU'!$BT$19,6,FALSE),"")</f>
        <v/>
      </c>
      <c r="Z192" s="50"/>
      <c r="AA192" s="50"/>
      <c r="AB192" s="50"/>
      <c r="AC192" s="50"/>
    </row>
    <row r="193" spans="2:29" x14ac:dyDescent="0.25">
      <c r="B193" s="132"/>
      <c r="C193" s="11" t="s">
        <v>239</v>
      </c>
      <c r="D193" s="109">
        <f>IFERROR(VLOOKUP(D$4,PICU!$BM$5:'PICU'!$BU$18,7,FALSE),"")</f>
        <v>1.4285714285714286</v>
      </c>
      <c r="E193" s="109">
        <f>IFERROR(VLOOKUP(E$4,PICU!$BM$5:'PICU'!$BU$18,7,FALSE),"")</f>
        <v>0.7142857142857143</v>
      </c>
      <c r="F193" s="109">
        <f>IFERROR(VLOOKUP(F$4,PICU!$BM$5:'PICU'!$BU$18,7,FALSE),"")</f>
        <v>0.8571428571428571</v>
      </c>
      <c r="G193" s="109">
        <f>IFERROR(VLOOKUP(G$4,PICU!$BM$5:'PICU'!$BU$18,7,FALSE),"")</f>
        <v>1.7142857142857142</v>
      </c>
      <c r="H193" s="109">
        <f>IFERROR(VLOOKUP(H$4,PICU!$BM$5:'PICU'!$BU$18,7,FALSE),"")</f>
        <v>1.5714285714285714</v>
      </c>
      <c r="I193" s="109">
        <f>IFERROR(VLOOKUP(I$4,PICU!$BM$5:'PICU'!$BU$18,7,FALSE),"")</f>
        <v>1.7142857142857142</v>
      </c>
      <c r="J193" s="109">
        <f>IFERROR(VLOOKUP(J$4,PICU!$BM$5:'PICU'!$BU$18,7,FALSE),"")</f>
        <v>1</v>
      </c>
      <c r="K193" s="109">
        <f>IFERROR(VLOOKUP(K$4,PICU!$BM$5:'PICU'!$BU$18,7,FALSE),"")</f>
        <v>1.1428571428571428</v>
      </c>
      <c r="L193" s="109">
        <f>IFERROR(VLOOKUP(L$4,PICU!$BM$5:'PICU'!$BU$18,7,FALSE),"")</f>
        <v>0.8571428571428571</v>
      </c>
      <c r="M193" s="109">
        <f>IFERROR(VLOOKUP(M$4,PICU!$BM$5:'PICU'!$BU$18,7,FALSE),"")</f>
        <v>3.1428571428571428</v>
      </c>
      <c r="N193" s="109">
        <f>IFERROR(VLOOKUP(N$4,PICU!$BM$5:'PICU'!$BU$18,7,FALSE),"")</f>
        <v>4.2857142857142856</v>
      </c>
      <c r="O193" s="109">
        <f>IFERROR(VLOOKUP(O$4,PICU!$BM$5:'PICU'!$BU$18,7,FALSE),"")</f>
        <v>3.4285714285714284</v>
      </c>
      <c r="P193" s="109">
        <f>IFERROR(VLOOKUP(P$4,PICU!$BM$5:'PICU'!$BU$18,7,FALSE),"")</f>
        <v>3.8571428571428572</v>
      </c>
      <c r="Q193" s="97" t="str">
        <f>IFERROR(VLOOKUP(Q$4,PICU!$BM$5:'PICU'!$BT$19,7,FALSE),"")</f>
        <v/>
      </c>
      <c r="Z193" s="50"/>
      <c r="AA193" s="50"/>
      <c r="AB193" s="50"/>
      <c r="AC193" s="50"/>
    </row>
    <row r="194" spans="2:29" ht="30" customHeight="1" x14ac:dyDescent="0.25">
      <c r="C194" s="1"/>
    </row>
    <row r="195" spans="2:29" ht="15" customHeight="1" x14ac:dyDescent="0.25">
      <c r="B195" s="132" t="s">
        <v>19</v>
      </c>
      <c r="C195" s="5" t="s">
        <v>246</v>
      </c>
      <c r="D195" s="127">
        <v>0.73465326833150935</v>
      </c>
      <c r="E195" s="127">
        <v>0.72341918027858498</v>
      </c>
      <c r="F195" s="127">
        <v>0.73064209155564463</v>
      </c>
      <c r="G195" s="127">
        <v>0.7099442008768434</v>
      </c>
      <c r="H195" s="127">
        <v>0.71733966745843225</v>
      </c>
      <c r="I195" s="127">
        <v>0.69255791030064073</v>
      </c>
      <c r="J195" s="127">
        <v>0.71183923975450403</v>
      </c>
      <c r="K195" s="127">
        <v>0.69433336584414318</v>
      </c>
      <c r="L195" s="127">
        <v>0.70073349633251836</v>
      </c>
      <c r="M195" s="127">
        <v>0.68913410875832593</v>
      </c>
      <c r="N195" s="127">
        <v>0.68751232984809629</v>
      </c>
      <c r="O195" s="127">
        <v>0.68064579641661749</v>
      </c>
      <c r="P195" s="127">
        <v>0.68395621733556844</v>
      </c>
      <c r="Z195" s="133" t="s">
        <v>34</v>
      </c>
      <c r="AA195" s="133"/>
      <c r="AB195" s="133"/>
      <c r="AC195" s="133"/>
    </row>
    <row r="196" spans="2:29" x14ac:dyDescent="0.25">
      <c r="B196" s="132"/>
      <c r="C196" s="69" t="s">
        <v>234</v>
      </c>
      <c r="D196" s="7">
        <v>0.69096181730304496</v>
      </c>
      <c r="E196" s="7">
        <v>0.68640308582449372</v>
      </c>
      <c r="F196" s="7">
        <v>0.70125482625482627</v>
      </c>
      <c r="G196" s="7">
        <v>0.67523772559673978</v>
      </c>
      <c r="H196" s="7">
        <v>0.67860967773342418</v>
      </c>
      <c r="I196" s="7">
        <v>0.7047045101088647</v>
      </c>
      <c r="J196" s="7">
        <v>0.70674656872221153</v>
      </c>
      <c r="K196" s="7">
        <v>0.69299999999999995</v>
      </c>
      <c r="L196" s="7">
        <v>0.69054028071524709</v>
      </c>
      <c r="M196" s="7">
        <v>0.68815229996134519</v>
      </c>
      <c r="N196" s="7">
        <v>0.68855932203389836</v>
      </c>
      <c r="O196" s="7">
        <v>0.68424101969872542</v>
      </c>
      <c r="P196" s="7">
        <v>0.67744738366480017</v>
      </c>
      <c r="Z196" s="133"/>
      <c r="AA196" s="133"/>
      <c r="AB196" s="133"/>
      <c r="AC196" s="133"/>
    </row>
    <row r="197" spans="2:29" ht="9" customHeight="1" x14ac:dyDescent="0.25">
      <c r="B197" s="132"/>
      <c r="D197" s="31">
        <v>0.85</v>
      </c>
      <c r="E197" s="31">
        <v>0.85</v>
      </c>
      <c r="F197" s="31">
        <v>0.85</v>
      </c>
      <c r="G197" s="31">
        <v>0.85</v>
      </c>
      <c r="H197" s="31">
        <v>0.85</v>
      </c>
      <c r="I197" s="31">
        <v>0.85</v>
      </c>
      <c r="J197" s="31">
        <v>0.85</v>
      </c>
      <c r="K197" s="31">
        <v>0.85</v>
      </c>
      <c r="L197" s="31">
        <v>0.85</v>
      </c>
      <c r="M197" s="31">
        <v>0.85</v>
      </c>
      <c r="N197" s="31">
        <v>0.85</v>
      </c>
      <c r="O197" s="31">
        <v>0.85</v>
      </c>
      <c r="P197" s="31">
        <v>0.85</v>
      </c>
      <c r="Q197" s="31">
        <v>0.85</v>
      </c>
      <c r="Z197" s="133"/>
      <c r="AA197" s="133"/>
      <c r="AB197" s="133"/>
      <c r="AC197" s="133"/>
    </row>
    <row r="198" spans="2:29" x14ac:dyDescent="0.25">
      <c r="B198" s="132"/>
      <c r="C198" s="16" t="s">
        <v>268</v>
      </c>
      <c r="D198" s="64">
        <f>IFERROR(VLOOKUP(D$4,NICU!$AA$5:$AI$18,2,FALSE),"")</f>
        <v>0.73157389635316694</v>
      </c>
      <c r="E198" s="64">
        <f>IFERROR(VLOOKUP(E$4,NICU!$AA$5:$AI$18,2,FALSE),"")</f>
        <v>0.74428653735356254</v>
      </c>
      <c r="F198" s="64">
        <f>IFERROR(VLOOKUP(F$4,NICU!$AA$5:$AI$18,2,FALSE),"")</f>
        <v>0.74739259401014257</v>
      </c>
      <c r="G198" s="64">
        <f>IFERROR(VLOOKUP(G$4,NICU!$AA$5:$AI$18,2,FALSE),"")</f>
        <v>0.71139386928860615</v>
      </c>
      <c r="H198" s="64">
        <f>IFERROR(VLOOKUP(H$4,NICU!$AA$5:$AI$18,2,FALSE),"")</f>
        <v>0.69080027029636071</v>
      </c>
      <c r="I198" s="64">
        <f>IFERROR(VLOOKUP(I$4,NICU!$AA$5:$AI$18,2,FALSE),"")</f>
        <v>0.70377503852080125</v>
      </c>
      <c r="J198" s="64">
        <f>IFERROR(VLOOKUP(J$4,NICU!$AA$5:$AI$18,2,FALSE),"")</f>
        <v>0.69971236816874405</v>
      </c>
      <c r="K198" s="64">
        <f>IFERROR(VLOOKUP(K$4,NICU!$AA$5:$AI$18,2,FALSE),"")</f>
        <v>0.6976788981989791</v>
      </c>
      <c r="L198" s="64">
        <f>IFERROR(VLOOKUP(L$4,NICU!$AA$5:$AI$18,2,FALSE),"")</f>
        <v>0.70355349555813051</v>
      </c>
      <c r="M198" s="64">
        <f>IFERROR(VLOOKUP(M$4,NICU!$AA$5:$AI$18,2,FALSE),"")</f>
        <v>0.69191677054367628</v>
      </c>
      <c r="N198" s="64">
        <f>IFERROR(VLOOKUP(N$4,NICU!$AA$5:$AI$18,2,FALSE),"")</f>
        <v>0.70221752903907075</v>
      </c>
      <c r="O198" s="64">
        <f>IFERROR(VLOOKUP(O$4,NICU!$AA$5:$AI$18,2,FALSE),"")</f>
        <v>0.69187997315693606</v>
      </c>
      <c r="P198" s="64">
        <f>IFERROR(VLOOKUP(P$4,NICU!$AA$5:$AI$18,2,FALSE),"")</f>
        <v>0.67915896038158274</v>
      </c>
      <c r="Q198" s="95" t="str">
        <f>IFERROR(VLOOKUP(Q$4,NICU!$AA$5:$AH$19,2,FALSE),"")</f>
        <v/>
      </c>
      <c r="Z198" s="133"/>
      <c r="AA198" s="133"/>
      <c r="AB198" s="133"/>
      <c r="AC198" s="133"/>
    </row>
    <row r="199" spans="2:29" x14ac:dyDescent="0.25">
      <c r="B199" s="132"/>
      <c r="C199" s="1" t="s">
        <v>1</v>
      </c>
      <c r="D199" s="110">
        <f>IFERROR(VLOOKUP(D$4,NICU!$AA$5:$AI$18,3,FALSE),"")</f>
        <v>0.84003458711629919</v>
      </c>
      <c r="E199" s="110">
        <f>IFERROR(VLOOKUP(E$4,NICU!$AA$5:$AI$18,3,FALSE),"")</f>
        <v>0.86481876332622598</v>
      </c>
      <c r="F199" s="110">
        <f>IFERROR(VLOOKUP(F$4,NICU!$AA$5:$AI$18,3,FALSE),"")</f>
        <v>0.8714773697694278</v>
      </c>
      <c r="G199" s="110">
        <f>IFERROR(VLOOKUP(G$4,NICU!$AA$5:$AI$18,3,FALSE),"")</f>
        <v>0.83525887890457851</v>
      </c>
      <c r="H199" s="110">
        <f>IFERROR(VLOOKUP(H$4,NICU!$AA$5:$AI$18,3,FALSE),"")</f>
        <v>0.81612627986348119</v>
      </c>
      <c r="I199" s="110">
        <f>IFERROR(VLOOKUP(I$4,NICU!$AA$5:$AI$18,3,FALSE),"")</f>
        <v>0.79307396323215051</v>
      </c>
      <c r="J199" s="110">
        <f>IFERROR(VLOOKUP(J$4,NICU!$AA$5:$AI$18,3,FALSE),"")</f>
        <v>0.78314798973481603</v>
      </c>
      <c r="K199" s="110">
        <f>IFERROR(VLOOKUP(K$4,NICU!$AA$5:$AI$18,3,FALSE),"")</f>
        <v>0.78379530916844353</v>
      </c>
      <c r="L199" s="110">
        <f>IFERROR(VLOOKUP(L$4,NICU!$AA$5:$AI$18,3,FALSE),"")</f>
        <v>0.8015397775876818</v>
      </c>
      <c r="M199" s="110">
        <f>IFERROR(VLOOKUP(M$4,NICU!$AA$5:$AI$18,3,FALSE),"")</f>
        <v>0.82724957555178269</v>
      </c>
      <c r="N199" s="110">
        <f>IFERROR(VLOOKUP(N$4,NICU!$AA$5:$AI$18,3,FALSE),"")</f>
        <v>0.82951653944020354</v>
      </c>
      <c r="O199" s="110">
        <f>IFERROR(VLOOKUP(O$4,NICU!$AA$5:$AI$18,3,FALSE),"")</f>
        <v>0.79401709401709397</v>
      </c>
      <c r="P199" s="110">
        <f>IFERROR(VLOOKUP(P$4,NICU!$AA$5:$AI$18,3,FALSE),"")</f>
        <v>0.77266451909802114</v>
      </c>
      <c r="Q199" s="70" t="str">
        <f>IFERROR(VLOOKUP(Q$4,NICU!$AA$5:$AH$19,3,FALSE),"")</f>
        <v/>
      </c>
      <c r="Z199" s="130" t="s">
        <v>273</v>
      </c>
      <c r="AA199" s="130"/>
      <c r="AB199" s="130"/>
      <c r="AC199" s="130"/>
    </row>
    <row r="200" spans="2:29" x14ac:dyDescent="0.25">
      <c r="B200" s="132"/>
      <c r="C200" s="1" t="s">
        <v>241</v>
      </c>
      <c r="D200" s="110">
        <f>IFERROR(VLOOKUP(D$4,NICU!$AA$5:$AI$18,4,FALSE),"")</f>
        <v>0.76014957264957261</v>
      </c>
      <c r="E200" s="110">
        <f>IFERROR(VLOOKUP(E$4,NICU!$AA$5:$AI$18,4,FALSE),"")</f>
        <v>0.78548559231590176</v>
      </c>
      <c r="F200" s="110">
        <f>IFERROR(VLOOKUP(F$4,NICU!$AA$5:$AI$18,4,FALSE),"")</f>
        <v>0.7664702731655062</v>
      </c>
      <c r="G200" s="110">
        <f>IFERROR(VLOOKUP(G$4,NICU!$AA$5:$AI$18,4,FALSE),"")</f>
        <v>0.71436403508771928</v>
      </c>
      <c r="H200" s="110">
        <f>IFERROR(VLOOKUP(H$4,NICU!$AA$5:$AI$18,4,FALSE),"")</f>
        <v>0.70721205597416581</v>
      </c>
      <c r="I200" s="110">
        <f>IFERROR(VLOOKUP(I$4,NICU!$AA$5:$AI$18,4,FALSE),"")</f>
        <v>0.75054585152838427</v>
      </c>
      <c r="J200" s="110">
        <f>IFERROR(VLOOKUP(J$4,NICU!$AA$5:$AI$18,4,FALSE),"")</f>
        <v>0.74822888283378741</v>
      </c>
      <c r="K200" s="110">
        <f>IFERROR(VLOOKUP(K$4,NICU!$AA$5:$AI$18,4,FALSE),"")</f>
        <v>0.73689956331877726</v>
      </c>
      <c r="L200" s="110">
        <f>IFERROR(VLOOKUP(L$4,NICU!$AA$5:$AI$18,4,FALSE),"")</f>
        <v>0.73672687465790909</v>
      </c>
      <c r="M200" s="110">
        <f>IFERROR(VLOOKUP(M$4,NICU!$AA$5:$AI$18,4,FALSE),"")</f>
        <v>0.69667738478027863</v>
      </c>
      <c r="N200" s="110">
        <f>IFERROR(VLOOKUP(N$4,NICU!$AA$5:$AI$18,4,FALSE),"")</f>
        <v>0.71708378672470074</v>
      </c>
      <c r="O200" s="110">
        <f>IFERROR(VLOOKUP(O$4,NICU!$AA$5:$AI$18,4,FALSE),"")</f>
        <v>0.69628432956381259</v>
      </c>
      <c r="P200" s="110">
        <f>IFERROR(VLOOKUP(P$4,NICU!$AA$5:$AI$18,4,FALSE),"")</f>
        <v>0.71143473570658033</v>
      </c>
      <c r="Q200" s="70" t="str">
        <f>IFERROR(VLOOKUP(Q$4,NICU!$AA$5:$AH$19,4,FALSE),"")</f>
        <v/>
      </c>
      <c r="Z200" s="130"/>
      <c r="AA200" s="130"/>
      <c r="AB200" s="130"/>
      <c r="AC200" s="130"/>
    </row>
    <row r="201" spans="2:29" x14ac:dyDescent="0.25">
      <c r="B201" s="132"/>
      <c r="C201" s="1" t="s">
        <v>281</v>
      </c>
      <c r="D201" s="110">
        <f>IFERROR(VLOOKUP(D$4,NICU!$AA$5:$AI$18,8,FALSE),"")</f>
        <v>0.56517935258092733</v>
      </c>
      <c r="E201" s="110">
        <f>IFERROR(VLOOKUP(E$4,NICU!$AA$5:$AI$18,8,FALSE),"")</f>
        <v>0.61808604038630377</v>
      </c>
      <c r="F201" s="110">
        <f>IFERROR(VLOOKUP(F$4,NICU!$AA$5:$AI$18,8,FALSE),"")</f>
        <v>0.64721254355400692</v>
      </c>
      <c r="G201" s="110">
        <f>IFERROR(VLOOKUP(G$4,NICU!$AA$5:$AI$18,8,FALSE),"")</f>
        <v>0.60556038227628151</v>
      </c>
      <c r="H201" s="110">
        <f>IFERROR(VLOOKUP(H$4,NICU!$AA$5:$AI$18,8,FALSE),"")</f>
        <v>0.58098591549295775</v>
      </c>
      <c r="I201" s="110">
        <f>IFERROR(VLOOKUP(I$4,NICU!$AA$5:$AI$18,8,FALSE),"")</f>
        <v>0.59010600706713778</v>
      </c>
      <c r="J201" s="110">
        <f>IFERROR(VLOOKUP(J$4,NICU!$AA$5:$AI$18,8,FALSE),"")</f>
        <v>0.5771632471008028</v>
      </c>
      <c r="K201" s="110">
        <f>IFERROR(VLOOKUP(K$4,NICU!$AA$5:$AI$18,8,FALSE),"")</f>
        <v>0.56537421100090168</v>
      </c>
      <c r="L201" s="110">
        <f>IFERROR(VLOOKUP(L$4,NICU!$AA$5:$AI$18,8,FALSE),"")</f>
        <v>0.62903225806451613</v>
      </c>
      <c r="M201" s="110">
        <f>IFERROR(VLOOKUP(M$4,NICU!$AA$5:$AI$18,8,FALSE),"")</f>
        <v>0.56761565836298933</v>
      </c>
      <c r="N201" s="110">
        <f>IFERROR(VLOOKUP(N$4,NICU!$AA$5:$AI$18,8,FALSE),"")</f>
        <v>0.5525394045534151</v>
      </c>
      <c r="O201" s="110">
        <f>IFERROR(VLOOKUP(O$4,NICU!$AA$5:$AI$18,8,FALSE),"")</f>
        <v>0.59122807017543855</v>
      </c>
      <c r="P201" s="110">
        <f>IFERROR(VLOOKUP(P$4,NICU!$AA$5:$AI$18,8,FALSE),"")</f>
        <v>0.56602112676056338</v>
      </c>
      <c r="Q201" s="70"/>
      <c r="Z201" s="130"/>
      <c r="AA201" s="130"/>
      <c r="AB201" s="130"/>
      <c r="AC201" s="130"/>
    </row>
    <row r="202" spans="2:29" x14ac:dyDescent="0.25">
      <c r="B202" s="132"/>
      <c r="C202" s="1" t="s">
        <v>282</v>
      </c>
      <c r="D202" s="110">
        <f>IFERROR(VLOOKUP(D$4,NICU!$AA$5:$AI$18,5,FALSE),"")</f>
        <v>0.72931167826759469</v>
      </c>
      <c r="E202" s="110">
        <f>IFERROR(VLOOKUP(E$4,NICU!$AA$5:$AI$18,5,FALSE),"")</f>
        <v>0.70482866043613712</v>
      </c>
      <c r="F202" s="110">
        <f>IFERROR(VLOOKUP(F$4,NICU!$AA$5:$AI$18,5,FALSE),"")</f>
        <v>0.70583596214511046</v>
      </c>
      <c r="G202" s="110">
        <f>IFERROR(VLOOKUP(G$4,NICU!$AA$5:$AI$18,5,FALSE),"")</f>
        <v>0.64171974522292996</v>
      </c>
      <c r="H202" s="110">
        <f>IFERROR(VLOOKUP(H$4,NICU!$AA$5:$AI$18,5,FALSE),"")</f>
        <v>0.69685039370078738</v>
      </c>
      <c r="I202" s="110">
        <f>IFERROR(VLOOKUP(I$4,NICU!$AA$5:$AI$18,5,FALSE),"")</f>
        <v>0.72996108949416338</v>
      </c>
      <c r="J202" s="110">
        <f>IFERROR(VLOOKUP(J$4,NICU!$AA$5:$AI$18,5,FALSE),"")</f>
        <v>0.72565687789799072</v>
      </c>
      <c r="K202" s="110">
        <f>IFERROR(VLOOKUP(K$4,NICU!$AA$5:$AI$18,5,FALSE),"")</f>
        <v>0.68533123028391163</v>
      </c>
      <c r="L202" s="110">
        <f>IFERROR(VLOOKUP(L$4,NICU!$AA$5:$AI$18,5,FALSE),"")</f>
        <v>0.65867306155075944</v>
      </c>
      <c r="M202" s="110">
        <f>IFERROR(VLOOKUP(M$4,NICU!$AA$5:$AI$18,5,FALSE),"")</f>
        <v>0.73349244232299127</v>
      </c>
      <c r="N202" s="110">
        <f>IFERROR(VLOOKUP(N$4,NICU!$AA$5:$AI$18,5,FALSE),"")</f>
        <v>0.70086819258089972</v>
      </c>
      <c r="O202" s="110">
        <f>IFERROR(VLOOKUP(O$4,NICU!$AA$5:$AI$18,5,FALSE),"")</f>
        <v>0.65039370078740155</v>
      </c>
      <c r="P202" s="110">
        <f>IFERROR(VLOOKUP(P$4,NICU!$AA$5:$AI$18,5,FALSE),"")</f>
        <v>0.66849100860046906</v>
      </c>
      <c r="Q202" s="70"/>
      <c r="Z202" s="130"/>
      <c r="AA202" s="130"/>
      <c r="AB202" s="130"/>
      <c r="AC202" s="130"/>
    </row>
    <row r="203" spans="2:29" x14ac:dyDescent="0.25">
      <c r="B203" s="132"/>
      <c r="C203" s="1" t="s">
        <v>284</v>
      </c>
      <c r="D203" s="110">
        <f>IFERROR(VLOOKUP(D$4,NICU!$AA$5:$AI$18,9,FALSE),"")</f>
        <v>0.58658008658008653</v>
      </c>
      <c r="E203" s="110">
        <f>IFERROR(VLOOKUP(E$4,NICU!$AA$5:$AI$18,9,FALSE),"")</f>
        <v>0.67524115755627012</v>
      </c>
      <c r="F203" s="110">
        <f>IFERROR(VLOOKUP(F$4,NICU!$AA$5:$AI$18,9,FALSE),"")</f>
        <v>0.71097046413502107</v>
      </c>
      <c r="G203" s="110">
        <f>IFERROR(VLOOKUP(G$4,NICU!$AA$5:$AI$18,9,FALSE),"")</f>
        <v>0.68353067814854684</v>
      </c>
      <c r="H203" s="110">
        <f>IFERROR(VLOOKUP(H$4,NICU!$AA$5:$AI$18,9,FALSE),"")</f>
        <v>0.60477741585233447</v>
      </c>
      <c r="I203" s="110">
        <f>IFERROR(VLOOKUP(I$4,NICU!$AA$5:$AI$18,9,FALSE),"")</f>
        <v>0.64470842332613387</v>
      </c>
      <c r="J203" s="110">
        <f>IFERROR(VLOOKUP(J$4,NICU!$AA$5:$AI$18,9,FALSE),"")</f>
        <v>0.66559139784946242</v>
      </c>
      <c r="K203" s="110">
        <f>IFERROR(VLOOKUP(K$4,NICU!$AA$5:$AI$18,9,FALSE),"")</f>
        <v>0.73283261802575106</v>
      </c>
      <c r="L203" s="110">
        <f>IFERROR(VLOOKUP(L$4,NICU!$AA$5:$AI$18,9,FALSE),"")</f>
        <v>0.71783783783783783</v>
      </c>
      <c r="M203" s="110">
        <f>IFERROR(VLOOKUP(M$4,NICU!$AA$5:$AI$18,9,FALSE),"")</f>
        <v>0.63362068965517238</v>
      </c>
      <c r="N203" s="110">
        <f>IFERROR(VLOOKUP(N$4,NICU!$AA$5:$AI$18,9,FALSE),"")</f>
        <v>0.66774891774891776</v>
      </c>
      <c r="O203" s="110">
        <f>IFERROR(VLOOKUP(O$4,NICU!$AA$5:$AI$18,9,FALSE),"")</f>
        <v>0.66738894907908997</v>
      </c>
      <c r="P203" s="110">
        <f>IFERROR(VLOOKUP(P$4,NICU!$AA$5:$AI$18,9,FALSE),"")</f>
        <v>0.65376344086021509</v>
      </c>
      <c r="Q203" s="70" t="str">
        <f>IFERROR(VLOOKUP(Q$4,NICU!$AA$5:$AH$19,5,FALSE),"")</f>
        <v/>
      </c>
      <c r="Z203" s="130"/>
      <c r="AA203" s="130"/>
      <c r="AB203" s="130"/>
      <c r="AC203" s="130"/>
    </row>
    <row r="204" spans="2:29" x14ac:dyDescent="0.25">
      <c r="B204" s="132"/>
      <c r="C204" s="1" t="s">
        <v>238</v>
      </c>
      <c r="D204" s="110">
        <f>IFERROR(VLOOKUP(D$4,NICU!$AA$5:$AI$18,6,FALSE),"")</f>
        <v>0.700488334237656</v>
      </c>
      <c r="E204" s="110">
        <f>IFERROR(VLOOKUP(E$4,NICU!$AA$5:$AI$18,6,FALSE),"")</f>
        <v>0.6596916299559471</v>
      </c>
      <c r="F204" s="110">
        <f>IFERROR(VLOOKUP(F$4,NICU!$AA$5:$AI$18,6,FALSE),"")</f>
        <v>0.6875</v>
      </c>
      <c r="G204" s="110">
        <f>IFERROR(VLOOKUP(G$4,NICU!$AA$5:$AI$18,6,FALSE),"")</f>
        <v>0.66307277628032346</v>
      </c>
      <c r="H204" s="110">
        <f>IFERROR(VLOOKUP(H$4,NICU!$AA$5:$AI$18,6,FALSE),"")</f>
        <v>0.61174551386623166</v>
      </c>
      <c r="I204" s="110">
        <f>IFERROR(VLOOKUP(I$4,NICU!$AA$5:$AI$18,6,FALSE),"")</f>
        <v>0.62878787878787878</v>
      </c>
      <c r="J204" s="110">
        <f>IFERROR(VLOOKUP(J$4,NICU!$AA$5:$AI$18,6,FALSE),"")</f>
        <v>0.63121693121693123</v>
      </c>
      <c r="K204" s="110">
        <f>IFERROR(VLOOKUP(K$4,NICU!$AA$5:$AI$18,6,FALSE),"")</f>
        <v>0.61719167111585693</v>
      </c>
      <c r="L204" s="110">
        <f>IFERROR(VLOOKUP(L$4,NICU!$AA$5:$AI$18,6,FALSE),"")</f>
        <v>0.62372517444981213</v>
      </c>
      <c r="M204" s="110">
        <f>IFERROR(VLOOKUP(M$4,NICU!$AA$5:$AI$18,6,FALSE),"")</f>
        <v>0.58700322234156821</v>
      </c>
      <c r="N204" s="110">
        <f>IFERROR(VLOOKUP(N$4,NICU!$AA$5:$AI$18,6,FALSE),"")</f>
        <v>0.62796976241900648</v>
      </c>
      <c r="O204" s="110">
        <f>IFERROR(VLOOKUP(O$4,NICU!$AA$5:$AI$18,6,FALSE),"")</f>
        <v>0.66380697050938342</v>
      </c>
      <c r="P204" s="110">
        <f>IFERROR(VLOOKUP(P$4,NICU!$AA$5:$AI$18,6,FALSE),"")</f>
        <v>0.62037533512064347</v>
      </c>
      <c r="Q204" s="70" t="str">
        <f>IFERROR(VLOOKUP(Q$4,NICU!$AA$5:$AH$19,6,FALSE),"")</f>
        <v/>
      </c>
      <c r="Z204" s="130"/>
      <c r="AA204" s="130"/>
      <c r="AB204" s="130"/>
      <c r="AC204" s="130"/>
    </row>
    <row r="205" spans="2:29" ht="15" customHeight="1" x14ac:dyDescent="0.25">
      <c r="B205" s="132"/>
      <c r="C205" s="11" t="s">
        <v>239</v>
      </c>
      <c r="D205" s="110">
        <f>IFERROR(VLOOKUP(D$4,NICU!$AA$5:$AI$18,7,FALSE),"")</f>
        <v>0.80910852713178294</v>
      </c>
      <c r="E205" s="110">
        <f>IFERROR(VLOOKUP(E$4,NICU!$AA$5:$AI$18,7,FALSE),"")</f>
        <v>0.79569892473118276</v>
      </c>
      <c r="F205" s="110">
        <f>IFERROR(VLOOKUP(F$4,NICU!$AA$5:$AI$18,7,FALSE),"")</f>
        <v>0.73483365949119372</v>
      </c>
      <c r="G205" s="110">
        <f>IFERROR(VLOOKUP(G$4,NICU!$AA$5:$AI$18,7,FALSE),"")</f>
        <v>0.74070450097847362</v>
      </c>
      <c r="H205" s="110">
        <f>IFERROR(VLOOKUP(H$4,NICU!$AA$5:$AI$18,7,FALSE),"")</f>
        <v>0.7083753784056509</v>
      </c>
      <c r="I205" s="110">
        <f>IFERROR(VLOOKUP(I$4,NICU!$AA$5:$AI$18,7,FALSE),"")</f>
        <v>0.69765166340508811</v>
      </c>
      <c r="J205" s="110">
        <f>IFERROR(VLOOKUP(J$4,NICU!$AA$5:$AI$18,7,FALSE),"")</f>
        <v>0.6810176125244618</v>
      </c>
      <c r="K205" s="110">
        <f>IFERROR(VLOOKUP(K$4,NICU!$AA$5:$AI$18,7,FALSE),"")</f>
        <v>0.7041015625</v>
      </c>
      <c r="L205" s="110">
        <f>IFERROR(VLOOKUP(L$4,NICU!$AA$5:$AI$18,7,FALSE),"")</f>
        <v>0.68918918918918914</v>
      </c>
      <c r="M205" s="110">
        <f>IFERROR(VLOOKUP(M$4,NICU!$AA$5:$AI$18,7,FALSE),"")</f>
        <v>0.70077220077220082</v>
      </c>
      <c r="N205" s="110">
        <f>IFERROR(VLOOKUP(N$4,NICU!$AA$5:$AI$18,7,FALSE),"")</f>
        <v>0.71621621621621623</v>
      </c>
      <c r="O205" s="110">
        <f>IFERROR(VLOOKUP(O$4,NICU!$AA$5:$AI$18,7,FALSE),"")</f>
        <v>0.68725868725868722</v>
      </c>
      <c r="P205" s="110">
        <f>IFERROR(VLOOKUP(P$4,NICU!$AA$5:$AI$18,7,FALSE),"")</f>
        <v>0.69111969111969107</v>
      </c>
      <c r="Q205" s="70" t="str">
        <f>IFERROR(VLOOKUP(Q$4,NICU!$AA$5:$AH$19,7,FALSE),"")</f>
        <v/>
      </c>
      <c r="Z205" s="130"/>
      <c r="AA205" s="130"/>
      <c r="AB205" s="130"/>
      <c r="AC205" s="130"/>
    </row>
    <row r="206" spans="2:29" ht="7.5" customHeight="1" x14ac:dyDescent="0.25">
      <c r="B206" s="132"/>
      <c r="C206" s="11"/>
      <c r="D206" s="70"/>
      <c r="E206" s="70"/>
      <c r="F206" s="70"/>
      <c r="G206" s="70"/>
      <c r="H206" s="70"/>
      <c r="I206" s="70"/>
      <c r="J206" s="70"/>
      <c r="K206" s="70"/>
      <c r="L206" s="70"/>
      <c r="M206" s="70"/>
      <c r="N206" s="70"/>
      <c r="O206" s="70"/>
      <c r="P206" s="70"/>
      <c r="Q206" s="70"/>
      <c r="Z206" s="130"/>
      <c r="AA206" s="130"/>
      <c r="AB206" s="130"/>
      <c r="AC206" s="130"/>
    </row>
    <row r="207" spans="2:29" x14ac:dyDescent="0.25">
      <c r="B207" s="132"/>
      <c r="C207" s="12" t="s">
        <v>18</v>
      </c>
      <c r="D207" s="126">
        <v>381</v>
      </c>
      <c r="E207" s="126">
        <v>394.28571428571428</v>
      </c>
      <c r="F207" s="126">
        <v>384.14285714285717</v>
      </c>
      <c r="G207" s="126">
        <v>415.85714285714283</v>
      </c>
      <c r="H207" s="126">
        <v>408</v>
      </c>
      <c r="I207" s="126">
        <v>445.57142857142856</v>
      </c>
      <c r="J207" s="126">
        <v>415.85714285714283</v>
      </c>
      <c r="K207" s="126">
        <v>447.71428571428572</v>
      </c>
      <c r="L207" s="126">
        <v>437.14285714285717</v>
      </c>
      <c r="M207" s="126">
        <v>446.71428571428572</v>
      </c>
      <c r="N207" s="126">
        <v>452.57142857142856</v>
      </c>
      <c r="O207" s="126">
        <v>463.42857142857144</v>
      </c>
      <c r="P207" s="126">
        <v>457.85714285714283</v>
      </c>
      <c r="Z207" s="130"/>
      <c r="AA207" s="130"/>
      <c r="AB207" s="130"/>
      <c r="AC207" s="130"/>
    </row>
    <row r="208" spans="2:29" x14ac:dyDescent="0.25">
      <c r="B208" s="132"/>
      <c r="C208" s="11" t="s">
        <v>234</v>
      </c>
      <c r="D208" s="30">
        <v>456.71428571428572</v>
      </c>
      <c r="E208" s="30">
        <v>464.57142857142856</v>
      </c>
      <c r="F208" s="30">
        <v>442.14285714285717</v>
      </c>
      <c r="G208" s="30">
        <v>478.14285714285717</v>
      </c>
      <c r="H208" s="30">
        <v>471.57142857142856</v>
      </c>
      <c r="I208" s="30">
        <v>434</v>
      </c>
      <c r="J208" s="30">
        <v>433.42857142857144</v>
      </c>
      <c r="K208" s="30">
        <v>453</v>
      </c>
      <c r="L208" s="30">
        <v>459.85714285714283</v>
      </c>
      <c r="M208" s="30">
        <v>461</v>
      </c>
      <c r="N208" s="30">
        <v>462</v>
      </c>
      <c r="O208" s="30">
        <v>467.14285714285717</v>
      </c>
      <c r="P208" s="30">
        <v>477.28571428571428</v>
      </c>
      <c r="Z208" s="130"/>
      <c r="AA208" s="130"/>
      <c r="AB208" s="130"/>
      <c r="AC208" s="130"/>
    </row>
    <row r="209" spans="2:29" ht="7.5" customHeight="1" x14ac:dyDescent="0.25">
      <c r="B209" s="132"/>
      <c r="C209" s="1"/>
      <c r="Z209" s="130"/>
      <c r="AA209" s="130"/>
      <c r="AB209" s="130"/>
      <c r="AC209" s="130"/>
    </row>
    <row r="210" spans="2:29" x14ac:dyDescent="0.25">
      <c r="B210" s="132"/>
      <c r="C210" s="16" t="s">
        <v>268</v>
      </c>
      <c r="D210" s="63">
        <f>IFERROR(VLOOKUP(D$4,NICU!$BL$5:$BT$18,2,FALSE),"")</f>
        <v>399.57142857142856</v>
      </c>
      <c r="E210" s="63">
        <f>IFERROR(VLOOKUP(E$4,NICU!$BL$5:$BT$18,2,FALSE),"")</f>
        <v>380.42857142857144</v>
      </c>
      <c r="F210" s="63">
        <f>IFERROR(VLOOKUP(F$4,NICU!$BL$5:$BT$18,2,FALSE),"")</f>
        <v>377.14285714285717</v>
      </c>
      <c r="G210" s="63">
        <f>IFERROR(VLOOKUP(G$4,NICU!$BL$5:$BT$18,2,FALSE),"")</f>
        <v>427.71428571428572</v>
      </c>
      <c r="H210" s="63">
        <f>IFERROR(VLOOKUP(H$4,NICU!$BL$5:$BT$18,2,FALSE),"")</f>
        <v>457.57142857142856</v>
      </c>
      <c r="I210" s="63">
        <f>IFERROR(VLOOKUP(I$4,NICU!$BL$5:$BT$18,2,FALSE),"")</f>
        <v>439.42857142857144</v>
      </c>
      <c r="J210" s="63">
        <f>IFERROR(VLOOKUP(J$4,NICU!$BL$5:$BT$18,2,FALSE),"")</f>
        <v>447.42857142857144</v>
      </c>
      <c r="K210" s="63">
        <f>IFERROR(VLOOKUP(K$4,NICU!$BL$5:$BT$18,2,FALSE),"")</f>
        <v>448.42857142857144</v>
      </c>
      <c r="L210" s="63">
        <f>IFERROR(VLOOKUP(L$4,NICU!$BL$5:$BT$18,2,FALSE),"")</f>
        <v>438.57142857142856</v>
      </c>
      <c r="M210" s="63">
        <f>IFERROR(VLOOKUP(M$4,NICU!$BL$5:$BT$18,2,FALSE),"")</f>
        <v>459</v>
      </c>
      <c r="N210" s="63">
        <f>IFERROR(VLOOKUP(N$4,NICU!$BL$5:$BT$18,2,FALSE),"")</f>
        <v>443.14285714285717</v>
      </c>
      <c r="O210" s="63">
        <f>IFERROR(VLOOKUP(O$4,NICU!$BL$5:$BT$18,2,FALSE),"")</f>
        <v>459.14285714285717</v>
      </c>
      <c r="P210" s="63">
        <f>IFERROR(VLOOKUP(P$4,NICU!$BL$5:$BT$18,2,FALSE),"")</f>
        <v>470.85714285714283</v>
      </c>
      <c r="Q210" s="96" t="str">
        <f>IFERROR(VLOOKUP(Q$4,NICU!$BL$5:$BS$19,2,FALSE),"")</f>
        <v/>
      </c>
      <c r="S210" s="3"/>
      <c r="Z210" s="130"/>
      <c r="AA210" s="130"/>
      <c r="AB210" s="130"/>
      <c r="AC210" s="130"/>
    </row>
    <row r="211" spans="2:29" x14ac:dyDescent="0.25">
      <c r="B211" s="132"/>
      <c r="C211" s="1" t="s">
        <v>1</v>
      </c>
      <c r="D211" s="109">
        <f>IFERROR(VLOOKUP(D$4,NICU!$BL$5:$BT$18,3,FALSE),"")</f>
        <v>52.857142857142854</v>
      </c>
      <c r="E211" s="109">
        <f>IFERROR(VLOOKUP(E$4,NICU!$BL$5:$BT$18,3,FALSE),"")</f>
        <v>45.285714285714285</v>
      </c>
      <c r="F211" s="109">
        <f>IFERROR(VLOOKUP(F$4,NICU!$BL$5:$BT$18,3,FALSE),"")</f>
        <v>43</v>
      </c>
      <c r="G211" s="109">
        <f>IFERROR(VLOOKUP(G$4,NICU!$BL$5:$BT$18,3,FALSE),"")</f>
        <v>55</v>
      </c>
      <c r="H211" s="109">
        <f>IFERROR(VLOOKUP(H$4,NICU!$BL$5:$BT$18,3,FALSE),"")</f>
        <v>61.571428571428569</v>
      </c>
      <c r="I211" s="109">
        <f>IFERROR(VLOOKUP(I$4,NICU!$BL$5:$BT$18,3,FALSE),"")</f>
        <v>69.142857142857139</v>
      </c>
      <c r="J211" s="109">
        <f>IFERROR(VLOOKUP(J$4,NICU!$BL$5:$BT$18,3,FALSE),"")</f>
        <v>72.428571428571431</v>
      </c>
      <c r="K211" s="109">
        <f>IFERROR(VLOOKUP(K$4,NICU!$BL$5:$BT$18,3,FALSE),"")</f>
        <v>72.428571428571431</v>
      </c>
      <c r="L211" s="109">
        <f>IFERROR(VLOOKUP(L$4,NICU!$BL$5:$BT$18,3,FALSE),"")</f>
        <v>66.285714285714292</v>
      </c>
      <c r="M211" s="109">
        <f>IFERROR(VLOOKUP(M$4,NICU!$BL$5:$BT$18,3,FALSE),"")</f>
        <v>58.142857142857146</v>
      </c>
      <c r="N211" s="109">
        <f>IFERROR(VLOOKUP(N$4,NICU!$BL$5:$BT$18,3,FALSE),"")</f>
        <v>57.428571428571431</v>
      </c>
      <c r="O211" s="109">
        <f>IFERROR(VLOOKUP(O$4,NICU!$BL$5:$BT$18,3,FALSE),"")</f>
        <v>68.857142857142861</v>
      </c>
      <c r="P211" s="109">
        <f>IFERROR(VLOOKUP(P$4,NICU!$BL$5:$BT$18,3,FALSE),"")</f>
        <v>70.571428571428569</v>
      </c>
      <c r="Q211" s="97" t="str">
        <f>IFERROR(VLOOKUP(Q$4,NICU!$BL$5:$BS$19,3,FALSE),"")</f>
        <v/>
      </c>
      <c r="Z211" s="130"/>
      <c r="AA211" s="130"/>
      <c r="AB211" s="130"/>
      <c r="AC211" s="130"/>
    </row>
    <row r="212" spans="2:29" x14ac:dyDescent="0.25">
      <c r="B212" s="132"/>
      <c r="C212" s="1" t="s">
        <v>241</v>
      </c>
      <c r="D212" s="109">
        <f>IFERROR(VLOOKUP(D$4,NICU!$BL$5:$BT$18,4,FALSE),"")</f>
        <v>64.142857142857139</v>
      </c>
      <c r="E212" s="109">
        <f>IFERROR(VLOOKUP(E$4,NICU!$BL$5:$BT$18,4,FALSE),"")</f>
        <v>57.428571428571431</v>
      </c>
      <c r="F212" s="109">
        <f>IFERROR(VLOOKUP(F$4,NICU!$BL$5:$BT$18,4,FALSE),"")</f>
        <v>62.285714285714285</v>
      </c>
      <c r="G212" s="109">
        <f>IFERROR(VLOOKUP(G$4,NICU!$BL$5:$BT$18,4,FALSE),"")</f>
        <v>74.428571428571431</v>
      </c>
      <c r="H212" s="109">
        <f>IFERROR(VLOOKUP(H$4,NICU!$BL$5:$BT$18,4,FALSE),"")</f>
        <v>77.714285714285708</v>
      </c>
      <c r="I212" s="109">
        <f>IFERROR(VLOOKUP(I$4,NICU!$BL$5:$BT$18,4,FALSE),"")</f>
        <v>65.285714285714292</v>
      </c>
      <c r="J212" s="109">
        <f>IFERROR(VLOOKUP(J$4,NICU!$BL$5:$BT$18,4,FALSE),"")</f>
        <v>66</v>
      </c>
      <c r="K212" s="109">
        <f>IFERROR(VLOOKUP(K$4,NICU!$BL$5:$BT$18,4,FALSE),"")</f>
        <v>68.857142857142861</v>
      </c>
      <c r="L212" s="109">
        <f>IFERROR(VLOOKUP(L$4,NICU!$BL$5:$BT$18,4,FALSE),"")</f>
        <v>68.714285714285708</v>
      </c>
      <c r="M212" s="109">
        <f>IFERROR(VLOOKUP(M$4,NICU!$BL$5:$BT$18,4,FALSE),"")</f>
        <v>80.857142857142861</v>
      </c>
      <c r="N212" s="109">
        <f>IFERROR(VLOOKUP(N$4,NICU!$BL$5:$BT$18,4,FALSE),"")</f>
        <v>74.285714285714292</v>
      </c>
      <c r="O212" s="109">
        <f>IFERROR(VLOOKUP(O$4,NICU!$BL$5:$BT$18,4,FALSE),"")</f>
        <v>80.571428571428569</v>
      </c>
      <c r="P212" s="109">
        <f>IFERROR(VLOOKUP(P$4,NICU!$BL$5:$BT$18,4,FALSE),"")</f>
        <v>76.428571428571431</v>
      </c>
      <c r="Q212" s="97" t="str">
        <f>IFERROR(VLOOKUP(Q$4,NICU!$BL$5:$BS$19,4,FALSE),"")</f>
        <v/>
      </c>
      <c r="Z212" s="130"/>
      <c r="AA212" s="130"/>
      <c r="AB212" s="130"/>
      <c r="AC212" s="130"/>
    </row>
    <row r="213" spans="2:29" x14ac:dyDescent="0.25">
      <c r="B213" s="132"/>
      <c r="C213" s="1" t="s">
        <v>281</v>
      </c>
      <c r="D213" s="109">
        <f>IFERROR(VLOOKUP(D$4,NICU!$BL$5:$BT$18,8,FALSE),"")</f>
        <v>71</v>
      </c>
      <c r="E213" s="109">
        <f>IFERROR(VLOOKUP(E$4,NICU!$BL$5:$BT$18,8,FALSE),"")</f>
        <v>62.142857142857146</v>
      </c>
      <c r="F213" s="109">
        <f>IFERROR(VLOOKUP(F$4,NICU!$BL$5:$BT$18,8,FALSE),"")</f>
        <v>57.857142857142854</v>
      </c>
      <c r="G213" s="109">
        <f>IFERROR(VLOOKUP(G$4,NICU!$BL$5:$BT$18,8,FALSE),"")</f>
        <v>64.857142857142861</v>
      </c>
      <c r="H213" s="109">
        <f>IFERROR(VLOOKUP(H$4,NICU!$BL$5:$BT$18,8,FALSE),"")</f>
        <v>68</v>
      </c>
      <c r="I213" s="109">
        <f>IFERROR(VLOOKUP(I$4,NICU!$BL$5:$BT$18,8,FALSE),"")</f>
        <v>66.285714285714292</v>
      </c>
      <c r="J213" s="109">
        <f>IFERROR(VLOOKUP(J$4,NICU!$BL$5:$BT$18,8,FALSE),"")</f>
        <v>67.714285714285708</v>
      </c>
      <c r="K213" s="109">
        <f>IFERROR(VLOOKUP(K$4,NICU!$BL$5:$BT$18,8,FALSE),"")</f>
        <v>68.857142857142861</v>
      </c>
      <c r="L213" s="109">
        <f>IFERROR(VLOOKUP(L$4,NICU!$BL$5:$BT$18,8,FALSE),"")</f>
        <v>59.142857142857146</v>
      </c>
      <c r="M213" s="109">
        <f>IFERROR(VLOOKUP(M$4,NICU!$BL$5:$BT$18,8,FALSE),"")</f>
        <v>69.428571428571431</v>
      </c>
      <c r="N213" s="109">
        <f>IFERROR(VLOOKUP(N$4,NICU!$BL$5:$BT$18,8,FALSE),"")</f>
        <v>73</v>
      </c>
      <c r="O213" s="109">
        <f>IFERROR(VLOOKUP(O$4,NICU!$BL$5:$BT$18,8,FALSE),"")</f>
        <v>66.571428571428569</v>
      </c>
      <c r="P213" s="109">
        <f>IFERROR(VLOOKUP(P$4,NICU!$BL$5:$BT$18,8,FALSE),"")</f>
        <v>70.428571428571431</v>
      </c>
      <c r="Q213" s="97"/>
      <c r="Z213" s="130"/>
      <c r="AA213" s="130"/>
      <c r="AB213" s="130"/>
      <c r="AC213" s="130"/>
    </row>
    <row r="214" spans="2:29" x14ac:dyDescent="0.25">
      <c r="B214" s="132"/>
      <c r="C214" s="1" t="s">
        <v>282</v>
      </c>
      <c r="D214" s="109">
        <f>IFERROR(VLOOKUP(D$4,NICU!$BL$5:$BT$18,5,FALSE),"")</f>
        <v>50</v>
      </c>
      <c r="E214" s="109">
        <f>IFERROR(VLOOKUP(E$4,NICU!$BL$5:$BT$18,5,FALSE),"")</f>
        <v>54.142857142857146</v>
      </c>
      <c r="F214" s="109">
        <f>IFERROR(VLOOKUP(F$4,NICU!$BL$5:$BT$18,5,FALSE),"")</f>
        <v>53.285714285714285</v>
      </c>
      <c r="G214" s="109">
        <f>IFERROR(VLOOKUP(G$4,NICU!$BL$5:$BT$18,5,FALSE),"")</f>
        <v>64.285714285714292</v>
      </c>
      <c r="H214" s="109">
        <f>IFERROR(VLOOKUP(H$4,NICU!$BL$5:$BT$18,5,FALSE),"")</f>
        <v>55</v>
      </c>
      <c r="I214" s="109">
        <f>IFERROR(VLOOKUP(I$4,NICU!$BL$5:$BT$18,5,FALSE),"")</f>
        <v>49.571428571428569</v>
      </c>
      <c r="J214" s="109">
        <f>IFERROR(VLOOKUP(J$4,NICU!$BL$5:$BT$18,5,FALSE),"")</f>
        <v>50.714285714285715</v>
      </c>
      <c r="K214" s="109">
        <f>IFERROR(VLOOKUP(K$4,NICU!$BL$5:$BT$18,5,FALSE),"")</f>
        <v>57</v>
      </c>
      <c r="L214" s="109">
        <f>IFERROR(VLOOKUP(L$4,NICU!$BL$5:$BT$18,5,FALSE),"")</f>
        <v>61</v>
      </c>
      <c r="M214" s="109">
        <f>IFERROR(VLOOKUP(M$4,NICU!$BL$5:$BT$18,5,FALSE),"")</f>
        <v>47.857142857142854</v>
      </c>
      <c r="N214" s="109">
        <f>IFERROR(VLOOKUP(N$4,NICU!$BL$5:$BT$18,5,FALSE),"")</f>
        <v>54.142857142857146</v>
      </c>
      <c r="O214" s="109">
        <f>IFERROR(VLOOKUP(O$4,NICU!$BL$5:$BT$18,5,FALSE),"")</f>
        <v>63.428571428571431</v>
      </c>
      <c r="P214" s="109">
        <f>IFERROR(VLOOKUP(P$4,NICU!$BL$5:$BT$18,5,FALSE),"")</f>
        <v>60.571428571428569</v>
      </c>
      <c r="Q214" s="97"/>
      <c r="Z214" s="130"/>
      <c r="AA214" s="130"/>
      <c r="AB214" s="130"/>
      <c r="AC214" s="130"/>
    </row>
    <row r="215" spans="2:29" x14ac:dyDescent="0.25">
      <c r="B215" s="132"/>
      <c r="C215" s="1" t="s">
        <v>284</v>
      </c>
      <c r="D215" s="109">
        <f>IFERROR(VLOOKUP(D$4,NICU!$BL$5:$BT$18,9,FALSE),"")</f>
        <v>54.571428571428569</v>
      </c>
      <c r="E215" s="109">
        <f>IFERROR(VLOOKUP(E$4,NICU!$BL$5:$BT$18,9,FALSE),"")</f>
        <v>43.285714285714285</v>
      </c>
      <c r="F215" s="109">
        <f>IFERROR(VLOOKUP(F$4,NICU!$BL$5:$BT$18,9,FALSE),"")</f>
        <v>39.142857142857146</v>
      </c>
      <c r="G215" s="109">
        <f>IFERROR(VLOOKUP(G$4,NICU!$BL$5:$BT$18,9,FALSE),"")</f>
        <v>42</v>
      </c>
      <c r="H215" s="109">
        <f>IFERROR(VLOOKUP(H$4,NICU!$BL$5:$BT$18,9,FALSE),"")</f>
        <v>52</v>
      </c>
      <c r="I215" s="109">
        <f>IFERROR(VLOOKUP(I$4,NICU!$BL$5:$BT$18,9,FALSE),"")</f>
        <v>47</v>
      </c>
      <c r="J215" s="109">
        <f>IFERROR(VLOOKUP(J$4,NICU!$BL$5:$BT$18,9,FALSE),"")</f>
        <v>44.428571428571431</v>
      </c>
      <c r="K215" s="109">
        <f>IFERROR(VLOOKUP(K$4,NICU!$BL$5:$BT$18,9,FALSE),"")</f>
        <v>35.571428571428569</v>
      </c>
      <c r="L215" s="109">
        <f>IFERROR(VLOOKUP(L$4,NICU!$BL$5:$BT$18,9,FALSE),"")</f>
        <v>37.285714285714285</v>
      </c>
      <c r="M215" s="109">
        <f>IFERROR(VLOOKUP(M$4,NICU!$BL$5:$BT$18,9,FALSE),"")</f>
        <v>48.571428571428569</v>
      </c>
      <c r="N215" s="109">
        <f>IFERROR(VLOOKUP(N$4,NICU!$BL$5:$BT$18,9,FALSE),"")</f>
        <v>43.857142857142854</v>
      </c>
      <c r="O215" s="109">
        <f>IFERROR(VLOOKUP(O$4,NICU!$BL$5:$BT$18,9,FALSE),"")</f>
        <v>43.857142857142854</v>
      </c>
      <c r="P215" s="109">
        <f>IFERROR(VLOOKUP(P$4,NICU!$BL$5:$BT$18,9,FALSE),"")</f>
        <v>46</v>
      </c>
      <c r="Q215" s="97" t="str">
        <f>IFERROR(VLOOKUP(Q$4,NICU!$BL$5:$BS$19,5,FALSE),"")</f>
        <v/>
      </c>
      <c r="Z215" s="130"/>
      <c r="AA215" s="130"/>
      <c r="AB215" s="130"/>
      <c r="AC215" s="130"/>
    </row>
    <row r="216" spans="2:29" x14ac:dyDescent="0.25">
      <c r="B216" s="132"/>
      <c r="C216" s="1" t="s">
        <v>238</v>
      </c>
      <c r="D216" s="109">
        <f>IFERROR(VLOOKUP(D$4,NICU!$BL$5:$BT$18,6,FALSE),"")</f>
        <v>78.857142857142861</v>
      </c>
      <c r="E216" s="109">
        <f>IFERROR(VLOOKUP(E$4,NICU!$BL$5:$BT$18,6,FALSE),"")</f>
        <v>88.285714285714292</v>
      </c>
      <c r="F216" s="109">
        <f>IFERROR(VLOOKUP(F$4,NICU!$BL$5:$BT$18,6,FALSE),"")</f>
        <v>82.857142857142861</v>
      </c>
      <c r="G216" s="109">
        <f>IFERROR(VLOOKUP(G$4,NICU!$BL$5:$BT$18,6,FALSE),"")</f>
        <v>89.285714285714292</v>
      </c>
      <c r="H216" s="109">
        <f>IFERROR(VLOOKUP(H$4,NICU!$BL$5:$BT$18,6,FALSE),"")</f>
        <v>102</v>
      </c>
      <c r="I216" s="109">
        <f>IFERROR(VLOOKUP(I$4,NICU!$BL$5:$BT$18,6,FALSE),"")</f>
        <v>98</v>
      </c>
      <c r="J216" s="109">
        <f>IFERROR(VLOOKUP(J$4,NICU!$BL$5:$BT$18,6,FALSE),"")</f>
        <v>99.571428571428569</v>
      </c>
      <c r="K216" s="109">
        <f>IFERROR(VLOOKUP(K$4,NICU!$BL$5:$BT$18,6,FALSE),"")</f>
        <v>102.42857142857143</v>
      </c>
      <c r="L216" s="109">
        <f>IFERROR(VLOOKUP(L$4,NICU!$BL$5:$BT$18,6,FALSE),"")</f>
        <v>100.14285714285714</v>
      </c>
      <c r="M216" s="109">
        <f>IFERROR(VLOOKUP(M$4,NICU!$BL$5:$BT$18,6,FALSE),"")</f>
        <v>109.85714285714286</v>
      </c>
      <c r="N216" s="109">
        <f>IFERROR(VLOOKUP(N$4,NICU!$BL$5:$BT$18,6,FALSE),"")</f>
        <v>98.428571428571431</v>
      </c>
      <c r="O216" s="109">
        <f>IFERROR(VLOOKUP(O$4,NICU!$BL$5:$BT$18,6,FALSE),"")</f>
        <v>89.571428571428569</v>
      </c>
      <c r="P216" s="109">
        <f>IFERROR(VLOOKUP(P$4,NICU!$BL$5:$BT$18,6,FALSE),"")</f>
        <v>101.14285714285714</v>
      </c>
      <c r="Q216" s="97" t="str">
        <f>IFERROR(VLOOKUP(Q$4,NICU!$BL$5:$BS$19,6,FALSE),"")</f>
        <v/>
      </c>
      <c r="Z216" s="50"/>
      <c r="AA216" s="50"/>
      <c r="AB216" s="50"/>
      <c r="AC216" s="50"/>
    </row>
    <row r="217" spans="2:29" x14ac:dyDescent="0.25">
      <c r="B217" s="132"/>
      <c r="C217" s="11" t="s">
        <v>243</v>
      </c>
      <c r="D217" s="109">
        <f>IFERROR(VLOOKUP(D$4,NICU!$BL$5:$BT$18,7,FALSE),"")</f>
        <v>28.142857142857142</v>
      </c>
      <c r="E217" s="109">
        <f>IFERROR(VLOOKUP(E$4,NICU!$BL$5:$BT$18,7,FALSE),"")</f>
        <v>29.857142857142858</v>
      </c>
      <c r="F217" s="109">
        <f>IFERROR(VLOOKUP(F$4,NICU!$BL$5:$BT$18,7,FALSE),"")</f>
        <v>38.714285714285715</v>
      </c>
      <c r="G217" s="109">
        <f>IFERROR(VLOOKUP(G$4,NICU!$BL$5:$BT$18,7,FALSE),"")</f>
        <v>37.857142857142854</v>
      </c>
      <c r="H217" s="109">
        <f>IFERROR(VLOOKUP(H$4,NICU!$BL$5:$BT$18,7,FALSE),"")</f>
        <v>41.285714285714285</v>
      </c>
      <c r="I217" s="109">
        <f>IFERROR(VLOOKUP(I$4,NICU!$BL$5:$BT$18,7,FALSE),"")</f>
        <v>44.142857142857146</v>
      </c>
      <c r="J217" s="109">
        <f>IFERROR(VLOOKUP(J$4,NICU!$BL$5:$BT$18,7,FALSE),"")</f>
        <v>46.571428571428569</v>
      </c>
      <c r="K217" s="109">
        <f>IFERROR(VLOOKUP(K$4,NICU!$BL$5:$BT$18,7,FALSE),"")</f>
        <v>43.285714285714285</v>
      </c>
      <c r="L217" s="109">
        <f>IFERROR(VLOOKUP(L$4,NICU!$BL$5:$BT$18,7,FALSE),"")</f>
        <v>46</v>
      </c>
      <c r="M217" s="109">
        <f>IFERROR(VLOOKUP(M$4,NICU!$BL$5:$BT$18,7,FALSE),"")</f>
        <v>44.285714285714285</v>
      </c>
      <c r="N217" s="109">
        <f>IFERROR(VLOOKUP(N$4,NICU!$BL$5:$BT$18,7,FALSE),"")</f>
        <v>42</v>
      </c>
      <c r="O217" s="109">
        <f>IFERROR(VLOOKUP(O$4,NICU!$BL$5:$BT$18,7,FALSE),"")</f>
        <v>46.285714285714285</v>
      </c>
      <c r="P217" s="109">
        <f>IFERROR(VLOOKUP(P$4,NICU!$BL$5:$BT$18,7,FALSE),"")</f>
        <v>45.714285714285715</v>
      </c>
      <c r="Q217" s="97" t="str">
        <f>IFERROR(VLOOKUP(Q$4,NICU!$BL$5:$BS$19,7,FALSE),"")</f>
        <v/>
      </c>
      <c r="Z217" s="50"/>
      <c r="AA217" s="50"/>
      <c r="AB217" s="50"/>
      <c r="AC217" s="50"/>
    </row>
    <row r="218" spans="2:29" ht="30" customHeight="1" x14ac:dyDescent="0.25">
      <c r="C218" s="1"/>
    </row>
    <row r="219" spans="2:29" ht="15" customHeight="1" x14ac:dyDescent="0.25">
      <c r="B219" s="132" t="s">
        <v>24</v>
      </c>
      <c r="C219" s="40" t="s">
        <v>20</v>
      </c>
      <c r="D219" s="128">
        <v>94584</v>
      </c>
      <c r="E219" s="128">
        <v>95392</v>
      </c>
      <c r="F219" s="128">
        <v>95546</v>
      </c>
      <c r="G219" s="128">
        <v>97706</v>
      </c>
      <c r="H219" s="128">
        <v>97072</v>
      </c>
      <c r="I219" s="128">
        <v>93351</v>
      </c>
      <c r="J219" s="128">
        <v>91968</v>
      </c>
      <c r="K219" s="128">
        <v>93301</v>
      </c>
      <c r="L219" s="128">
        <v>93460</v>
      </c>
      <c r="M219" s="128">
        <v>92915</v>
      </c>
      <c r="N219" s="128">
        <v>93201</v>
      </c>
      <c r="O219" s="128">
        <v>93456</v>
      </c>
      <c r="P219" s="128">
        <v>90799</v>
      </c>
      <c r="Z219" s="133" t="s">
        <v>35</v>
      </c>
      <c r="AA219" s="133"/>
      <c r="AB219" s="133"/>
      <c r="AC219" s="133"/>
    </row>
    <row r="220" spans="2:29" ht="15" customHeight="1" x14ac:dyDescent="0.25">
      <c r="B220" s="132"/>
      <c r="C220" s="1" t="s">
        <v>234</v>
      </c>
      <c r="D220" s="14">
        <v>97472</v>
      </c>
      <c r="E220" s="14">
        <v>96284</v>
      </c>
      <c r="F220" s="14">
        <v>99091</v>
      </c>
      <c r="G220" s="14">
        <v>99156</v>
      </c>
      <c r="H220" s="14">
        <v>101949</v>
      </c>
      <c r="I220" s="14">
        <v>98751</v>
      </c>
      <c r="J220" s="14">
        <v>97577</v>
      </c>
      <c r="K220" s="14">
        <v>98072</v>
      </c>
      <c r="L220" s="14">
        <v>97620</v>
      </c>
      <c r="M220" s="14">
        <v>99971</v>
      </c>
      <c r="N220" s="14">
        <v>98237</v>
      </c>
      <c r="O220" s="14">
        <v>95289</v>
      </c>
      <c r="P220" s="14">
        <v>93927</v>
      </c>
      <c r="Z220" s="133"/>
      <c r="AA220" s="133"/>
      <c r="AB220" s="133"/>
      <c r="AC220" s="133"/>
    </row>
    <row r="221" spans="2:29" ht="7.5" customHeight="1" x14ac:dyDescent="0.25">
      <c r="B221" s="132"/>
      <c r="Z221" s="133"/>
      <c r="AA221" s="133"/>
      <c r="AB221" s="133"/>
      <c r="AC221" s="133"/>
    </row>
    <row r="222" spans="2:29" x14ac:dyDescent="0.25">
      <c r="B222" s="132"/>
      <c r="C222" s="16" t="s">
        <v>268</v>
      </c>
      <c r="D222" s="66">
        <f>IFERROR(VLOOKUP(D$4, Ambulance!$M$3:$U$16,2,FALSE),"")</f>
        <v>100129</v>
      </c>
      <c r="E222" s="66">
        <f>IFERROR(VLOOKUP(E$4, Ambulance!$M$3:$U$16,2,FALSE),"")</f>
        <v>99958</v>
      </c>
      <c r="F222" s="66">
        <f>IFERROR(VLOOKUP(F$4, Ambulance!$M$3:$U$16,2,FALSE),"")</f>
        <v>100884</v>
      </c>
      <c r="G222" s="66">
        <f>IFERROR(VLOOKUP(G$4, Ambulance!$M$3:$U$16,2,FALSE),"")</f>
        <v>98558</v>
      </c>
      <c r="H222" s="66">
        <f>IFERROR(VLOOKUP(H$4, Ambulance!$M$3:$U$16,2,FALSE),"")</f>
        <v>100569</v>
      </c>
      <c r="I222" s="66">
        <f>IFERROR(VLOOKUP(I$4, Ambulance!$M$3:$U$16,2,FALSE),"")</f>
        <v>95738</v>
      </c>
      <c r="J222" s="66">
        <f>IFERROR(VLOOKUP(J$4, Ambulance!$M$3:$U$16,2,FALSE),"")</f>
        <v>94512</v>
      </c>
      <c r="K222" s="66">
        <f>IFERROR(VLOOKUP(K$4, Ambulance!$M$3:$U$16,2,FALSE),"")</f>
        <v>93701</v>
      </c>
      <c r="L222" s="66">
        <f>IFERROR(VLOOKUP(L$4, Ambulance!$M$3:$U$16,2,FALSE),"")</f>
        <v>96519</v>
      </c>
      <c r="M222" s="66">
        <f>IFERROR(VLOOKUP(M$4, Ambulance!$M$3:$U$16,2,FALSE),"")</f>
        <v>93938</v>
      </c>
      <c r="N222" s="66">
        <f>IFERROR(VLOOKUP(N$4, Ambulance!$M$3:$U$16,2,FALSE),"")</f>
        <v>94510</v>
      </c>
      <c r="O222" s="66">
        <f>IFERROR(VLOOKUP(O$4, Ambulance!$M$3:$U$16,2,FALSE),"")</f>
        <v>94740</v>
      </c>
      <c r="P222" s="66">
        <f>IFERROR(VLOOKUP(P$4, Ambulance!$M$3:$U$16,2,FALSE),"")</f>
        <v>93874</v>
      </c>
      <c r="Q222" s="98"/>
      <c r="Z222" s="133"/>
      <c r="AA222" s="133"/>
      <c r="AB222" s="133"/>
      <c r="AC222" s="133"/>
    </row>
    <row r="223" spans="2:29" x14ac:dyDescent="0.25">
      <c r="B223" s="132"/>
      <c r="C223" s="1" t="s">
        <v>1</v>
      </c>
      <c r="D223" s="111">
        <f>IFERROR(VLOOKUP(D$4, Ambulance!$M$3:$U$16,3,FALSE),"")</f>
        <v>15345</v>
      </c>
      <c r="E223" s="111">
        <f>IFERROR(VLOOKUP(E$4, Ambulance!$M$3:$U$16,3,FALSE),"")</f>
        <v>15441</v>
      </c>
      <c r="F223" s="111">
        <f>IFERROR(VLOOKUP(F$4, Ambulance!$M$3:$U$16,3,FALSE),"")</f>
        <v>14845</v>
      </c>
      <c r="G223" s="111">
        <f>IFERROR(VLOOKUP(G$4, Ambulance!$M$3:$U$16,3,FALSE),"")</f>
        <v>14329</v>
      </c>
      <c r="H223" s="111">
        <f>IFERROR(VLOOKUP(H$4, Ambulance!$M$3:$U$16,3,FALSE),"")</f>
        <v>15218</v>
      </c>
      <c r="I223" s="111">
        <f>IFERROR(VLOOKUP(I$4, Ambulance!$M$3:$U$16,3,FALSE),"")</f>
        <v>14834</v>
      </c>
      <c r="J223" s="111">
        <f>IFERROR(VLOOKUP(J$4, Ambulance!$M$3:$U$16,3,FALSE),"")</f>
        <v>14752</v>
      </c>
      <c r="K223" s="111">
        <f>IFERROR(VLOOKUP(K$4, Ambulance!$M$3:$U$16,3,FALSE),"")</f>
        <v>14891</v>
      </c>
      <c r="L223" s="111">
        <f>IFERROR(VLOOKUP(L$4, Ambulance!$M$3:$U$16,3,FALSE),"")</f>
        <v>15112</v>
      </c>
      <c r="M223" s="111">
        <f>IFERROR(VLOOKUP(M$4, Ambulance!$M$3:$U$16,3,FALSE),"")</f>
        <v>14659</v>
      </c>
      <c r="N223" s="111">
        <f>IFERROR(VLOOKUP(N$4, Ambulance!$M$3:$U$16,3,FALSE),"")</f>
        <v>14373</v>
      </c>
      <c r="O223" s="111">
        <f>IFERROR(VLOOKUP(O$4, Ambulance!$M$3:$U$16,3,FALSE),"")</f>
        <v>14838</v>
      </c>
      <c r="P223" s="111">
        <f>IFERROR(VLOOKUP(P$4, Ambulance!$M$3:$U$16,3,FALSE),"")</f>
        <v>14950</v>
      </c>
      <c r="Q223" s="71" t="str">
        <f>IFERROR(VLOOKUP(Q$4, Ambulance!$M$3:$T$17,3,FALSE),"")</f>
        <v/>
      </c>
      <c r="Z223" s="133"/>
      <c r="AA223" s="133"/>
      <c r="AB223" s="133"/>
      <c r="AC223" s="133"/>
    </row>
    <row r="224" spans="2:29" x14ac:dyDescent="0.25">
      <c r="B224" s="132"/>
      <c r="C224" s="1" t="s">
        <v>241</v>
      </c>
      <c r="D224" s="111">
        <f>IFERROR(VLOOKUP(D$4, Ambulance!$M$3:$U$16,4,FALSE),"")</f>
        <v>20994</v>
      </c>
      <c r="E224" s="111">
        <f>IFERROR(VLOOKUP(E$4, Ambulance!$M$3:$U$16,4,FALSE),"")</f>
        <v>21176</v>
      </c>
      <c r="F224" s="111">
        <f>IFERROR(VLOOKUP(F$4, Ambulance!$M$3:$U$16,4,FALSE),"")</f>
        <v>21092</v>
      </c>
      <c r="G224" s="111">
        <f>IFERROR(VLOOKUP(G$4, Ambulance!$M$3:$U$16,4,FALSE),"")</f>
        <v>20585</v>
      </c>
      <c r="H224" s="111">
        <f>IFERROR(VLOOKUP(H$4, Ambulance!$M$3:$U$16,4,FALSE),"")</f>
        <v>20303</v>
      </c>
      <c r="I224" s="111">
        <f>IFERROR(VLOOKUP(I$4, Ambulance!$M$3:$U$16,4,FALSE),"")</f>
        <v>19925</v>
      </c>
      <c r="J224" s="111">
        <f>IFERROR(VLOOKUP(J$4, Ambulance!$M$3:$U$16,4,FALSE),"")</f>
        <v>19516</v>
      </c>
      <c r="K224" s="111">
        <f>IFERROR(VLOOKUP(K$4, Ambulance!$M$3:$U$16,4,FALSE),"")</f>
        <v>19380</v>
      </c>
      <c r="L224" s="111">
        <f>IFERROR(VLOOKUP(L$4, Ambulance!$M$3:$U$16,4,FALSE),"")</f>
        <v>19736</v>
      </c>
      <c r="M224" s="111">
        <f>IFERROR(VLOOKUP(M$4, Ambulance!$M$3:$U$16,4,FALSE),"")</f>
        <v>19704</v>
      </c>
      <c r="N224" s="111">
        <f>IFERROR(VLOOKUP(N$4, Ambulance!$M$3:$U$16,4,FALSE),"")</f>
        <v>20025</v>
      </c>
      <c r="O224" s="111">
        <f>IFERROR(VLOOKUP(O$4, Ambulance!$M$3:$U$16,4,FALSE),"")</f>
        <v>19784</v>
      </c>
      <c r="P224" s="111">
        <f>IFERROR(VLOOKUP(P$4, Ambulance!$M$3:$U$16,4,FALSE),"")</f>
        <v>19871</v>
      </c>
      <c r="Q224" s="71" t="str">
        <f>IFERROR(VLOOKUP(Q$4, Ambulance!$M$3:$T$17,4,FALSE),"")</f>
        <v/>
      </c>
      <c r="Z224" s="133"/>
      <c r="AA224" s="133"/>
      <c r="AB224" s="133"/>
      <c r="AC224" s="133"/>
    </row>
    <row r="225" spans="2:29" x14ac:dyDescent="0.25">
      <c r="B225" s="132"/>
      <c r="C225" s="1" t="s">
        <v>281</v>
      </c>
      <c r="D225" s="111">
        <f>IFERROR(VLOOKUP(D$4, Ambulance!$M$3:$U$16,8,FALSE),"")</f>
        <v>10240</v>
      </c>
      <c r="E225" s="111">
        <f>IFERROR(VLOOKUP(E$4, Ambulance!$M$3:$U$16,8,FALSE),"")</f>
        <v>10299</v>
      </c>
      <c r="F225" s="111">
        <f>IFERROR(VLOOKUP(F$4, Ambulance!$M$3:$U$16,8,FALSE),"")</f>
        <v>10735</v>
      </c>
      <c r="G225" s="111">
        <f>IFERROR(VLOOKUP(G$4, Ambulance!$M$3:$U$16,8,FALSE),"")</f>
        <v>10445</v>
      </c>
      <c r="H225" s="111">
        <f>IFERROR(VLOOKUP(H$4, Ambulance!$M$3:$U$16,8,FALSE),"")</f>
        <v>10533</v>
      </c>
      <c r="I225" s="111">
        <f>IFERROR(VLOOKUP(I$4, Ambulance!$M$3:$U$16,8,FALSE),"")</f>
        <v>10214</v>
      </c>
      <c r="J225" s="111">
        <f>IFERROR(VLOOKUP(J$4, Ambulance!$M$3:$U$16,8,FALSE),"")</f>
        <v>9943</v>
      </c>
      <c r="K225" s="111">
        <f>IFERROR(VLOOKUP(K$4, Ambulance!$M$3:$U$16,8,FALSE),"")</f>
        <v>9860</v>
      </c>
      <c r="L225" s="111">
        <f>IFERROR(VLOOKUP(L$4, Ambulance!$M$3:$U$16,8,FALSE),"")</f>
        <v>10228</v>
      </c>
      <c r="M225" s="111">
        <f>IFERROR(VLOOKUP(M$4, Ambulance!$M$3:$U$16,8,FALSE),"")</f>
        <v>9797</v>
      </c>
      <c r="N225" s="111">
        <f>IFERROR(VLOOKUP(N$4, Ambulance!$M$3:$U$16,8,FALSE),"")</f>
        <v>10004</v>
      </c>
      <c r="O225" s="111">
        <f>IFERROR(VLOOKUP(O$4, Ambulance!$M$3:$U$16,8,FALSE),"")</f>
        <v>9892</v>
      </c>
      <c r="P225" s="111">
        <f>IFERROR(VLOOKUP(P$4, Ambulance!$M$3:$U$16,8,FALSE),"")</f>
        <v>9868</v>
      </c>
      <c r="Q225" s="71"/>
      <c r="Z225" s="114"/>
      <c r="AA225" s="114"/>
      <c r="AB225" s="114"/>
      <c r="AC225" s="114"/>
    </row>
    <row r="226" spans="2:29" x14ac:dyDescent="0.25">
      <c r="B226" s="132"/>
      <c r="C226" s="1" t="s">
        <v>282</v>
      </c>
      <c r="D226" s="111">
        <f>IFERROR(VLOOKUP(D$4, Ambulance!$M$3:$U$16,5,FALSE),"")</f>
        <v>16216</v>
      </c>
      <c r="E226" s="111">
        <f>IFERROR(VLOOKUP(E$4, Ambulance!$M$3:$U$16,5,FALSE),"")</f>
        <v>16106</v>
      </c>
      <c r="F226" s="111">
        <f>IFERROR(VLOOKUP(F$4, Ambulance!$M$3:$U$16,5,FALSE),"")</f>
        <v>16084</v>
      </c>
      <c r="G226" s="111">
        <f>IFERROR(VLOOKUP(G$4, Ambulance!$M$3:$U$16,5,FALSE),"")</f>
        <v>16056</v>
      </c>
      <c r="H226" s="111">
        <f>IFERROR(VLOOKUP(H$4, Ambulance!$M$3:$U$16,5,FALSE),"")</f>
        <v>16565</v>
      </c>
      <c r="I226" s="111">
        <f>IFERROR(VLOOKUP(I$4, Ambulance!$M$3:$U$16,5,FALSE),"")</f>
        <v>15130</v>
      </c>
      <c r="J226" s="111">
        <f>IFERROR(VLOOKUP(J$4, Ambulance!$M$3:$U$16,5,FALSE),"")</f>
        <v>15389</v>
      </c>
      <c r="K226" s="111">
        <f>IFERROR(VLOOKUP(K$4, Ambulance!$M$3:$U$16,5,FALSE),"")</f>
        <v>15100</v>
      </c>
      <c r="L226" s="111">
        <f>IFERROR(VLOOKUP(L$4, Ambulance!$M$3:$U$16,5,FALSE),"")</f>
        <v>15735</v>
      </c>
      <c r="M226" s="111">
        <f>IFERROR(VLOOKUP(M$4, Ambulance!$M$3:$U$16,5,FALSE),"")</f>
        <v>14984</v>
      </c>
      <c r="N226" s="111">
        <f>IFERROR(VLOOKUP(N$4, Ambulance!$M$3:$U$16,5,FALSE),"")</f>
        <v>15272</v>
      </c>
      <c r="O226" s="111">
        <f>IFERROR(VLOOKUP(O$4, Ambulance!$M$3:$U$16,5,FALSE),"")</f>
        <v>15293</v>
      </c>
      <c r="P226" s="111">
        <f>IFERROR(VLOOKUP(P$4, Ambulance!$M$3:$U$16,5,FALSE),"")</f>
        <v>15061</v>
      </c>
      <c r="Q226" s="71"/>
      <c r="Z226" s="114"/>
      <c r="AA226" s="114"/>
      <c r="AB226" s="114"/>
      <c r="AC226" s="114"/>
    </row>
    <row r="227" spans="2:29" x14ac:dyDescent="0.25">
      <c r="B227" s="132"/>
      <c r="C227" s="1" t="s">
        <v>284</v>
      </c>
      <c r="D227" s="111">
        <f>IFERROR(VLOOKUP(D$4, Ambulance!$M$3:$U$16,9,FALSE),"")</f>
        <v>12993</v>
      </c>
      <c r="E227" s="111">
        <f>IFERROR(VLOOKUP(E$4, Ambulance!$M$3:$U$16,9,FALSE),"")</f>
        <v>12720</v>
      </c>
      <c r="F227" s="111">
        <f>IFERROR(VLOOKUP(F$4, Ambulance!$M$3:$U$16,9,FALSE),"")</f>
        <v>13120</v>
      </c>
      <c r="G227" s="111">
        <f>IFERROR(VLOOKUP(G$4, Ambulance!$M$3:$U$16,9,FALSE),"")</f>
        <v>13190</v>
      </c>
      <c r="H227" s="111">
        <f>IFERROR(VLOOKUP(H$4, Ambulance!$M$3:$U$16,9,FALSE),"")</f>
        <v>13077</v>
      </c>
      <c r="I227" s="111">
        <f>IFERROR(VLOOKUP(I$4, Ambulance!$M$3:$U$16,9,FALSE),"")</f>
        <v>12369</v>
      </c>
      <c r="J227" s="111">
        <f>IFERROR(VLOOKUP(J$4, Ambulance!$M$3:$U$16,9,FALSE),"")</f>
        <v>12052</v>
      </c>
      <c r="K227" s="111">
        <f>IFERROR(VLOOKUP(K$4, Ambulance!$M$3:$U$16,9,FALSE),"")</f>
        <v>11545</v>
      </c>
      <c r="L227" s="111">
        <f>IFERROR(VLOOKUP(L$4, Ambulance!$M$3:$U$16,9,FALSE),"")</f>
        <v>12046</v>
      </c>
      <c r="M227" s="111">
        <f>IFERROR(VLOOKUP(M$4, Ambulance!$M$3:$U$16,9,FALSE),"")</f>
        <v>11883</v>
      </c>
      <c r="N227" s="111">
        <f>IFERROR(VLOOKUP(N$4, Ambulance!$M$3:$U$16,9,FALSE),"")</f>
        <v>11888</v>
      </c>
      <c r="O227" s="111">
        <f>IFERROR(VLOOKUP(O$4, Ambulance!$M$3:$U$16,9,FALSE),"")</f>
        <v>12029</v>
      </c>
      <c r="P227" s="111">
        <f>IFERROR(VLOOKUP(P$4, Ambulance!$M$3:$U$16,9,FALSE),"")</f>
        <v>11144</v>
      </c>
      <c r="Q227" s="71" t="str">
        <f>IFERROR(VLOOKUP(Q$4, Ambulance!$M$3:$T$17,5,FALSE),"")</f>
        <v/>
      </c>
      <c r="Z227" s="130" t="s">
        <v>247</v>
      </c>
      <c r="AA227" s="130"/>
      <c r="AB227" s="130"/>
      <c r="AC227" s="130"/>
    </row>
    <row r="228" spans="2:29" ht="17.25" customHeight="1" x14ac:dyDescent="0.25">
      <c r="B228" s="132"/>
      <c r="C228" s="1" t="s">
        <v>238</v>
      </c>
      <c r="D228" s="111">
        <f>IFERROR(VLOOKUP(D$4, Ambulance!$M$3:$U$16,6,FALSE),"")</f>
        <v>14662</v>
      </c>
      <c r="E228" s="111">
        <f>IFERROR(VLOOKUP(E$4, Ambulance!$M$3:$U$16,6,FALSE),"")</f>
        <v>14700</v>
      </c>
      <c r="F228" s="111">
        <f>IFERROR(VLOOKUP(F$4, Ambulance!$M$3:$U$16,6,FALSE),"")</f>
        <v>15048</v>
      </c>
      <c r="G228" s="111">
        <f>IFERROR(VLOOKUP(G$4, Ambulance!$M$3:$U$16,6,FALSE),"")</f>
        <v>14333</v>
      </c>
      <c r="H228" s="111">
        <f>IFERROR(VLOOKUP(H$4, Ambulance!$M$3:$U$16,6,FALSE),"")</f>
        <v>15007</v>
      </c>
      <c r="I228" s="111">
        <f>IFERROR(VLOOKUP(I$4, Ambulance!$M$3:$U$16,6,FALSE),"")</f>
        <v>14127</v>
      </c>
      <c r="J228" s="111">
        <f>IFERROR(VLOOKUP(J$4, Ambulance!$M$3:$U$16,6,FALSE),"")</f>
        <v>13784</v>
      </c>
      <c r="K228" s="111">
        <f>IFERROR(VLOOKUP(K$4, Ambulance!$M$3:$U$16,6,FALSE),"")</f>
        <v>13995</v>
      </c>
      <c r="L228" s="111">
        <f>IFERROR(VLOOKUP(L$4, Ambulance!$M$3:$U$16,6,FALSE),"")</f>
        <v>14387</v>
      </c>
      <c r="M228" s="111">
        <f>IFERROR(VLOOKUP(M$4, Ambulance!$M$3:$U$16,6,FALSE),"")</f>
        <v>13969</v>
      </c>
      <c r="N228" s="111">
        <f>IFERROR(VLOOKUP(N$4, Ambulance!$M$3:$U$16,6,FALSE),"")</f>
        <v>14052</v>
      </c>
      <c r="O228" s="111">
        <f>IFERROR(VLOOKUP(O$4, Ambulance!$M$3:$U$16,6,FALSE),"")</f>
        <v>13762</v>
      </c>
      <c r="P228" s="111">
        <f>IFERROR(VLOOKUP(P$4, Ambulance!$M$3:$U$16,6,FALSE),"")</f>
        <v>13790</v>
      </c>
      <c r="Q228" s="71" t="str">
        <f>IFERROR(VLOOKUP(Q$4, Ambulance!$M$3:$T$17,6,FALSE),"")</f>
        <v/>
      </c>
      <c r="Z228" s="130"/>
      <c r="AA228" s="130"/>
      <c r="AB228" s="130"/>
      <c r="AC228" s="130"/>
    </row>
    <row r="229" spans="2:29" ht="17.25" customHeight="1" x14ac:dyDescent="0.25">
      <c r="B229" s="132"/>
      <c r="C229" s="11" t="s">
        <v>243</v>
      </c>
      <c r="D229" s="111">
        <f>IFERROR(VLOOKUP(D$4, Ambulance!$M$3:$U$16,7,FALSE),"")</f>
        <v>9679</v>
      </c>
      <c r="E229" s="111">
        <f>IFERROR(VLOOKUP(E$4, Ambulance!$M$3:$U$16,7,FALSE),"")</f>
        <v>9516</v>
      </c>
      <c r="F229" s="111">
        <f>IFERROR(VLOOKUP(F$4, Ambulance!$M$3:$U$16,7,FALSE),"")</f>
        <v>9960</v>
      </c>
      <c r="G229" s="111">
        <f>IFERROR(VLOOKUP(G$4, Ambulance!$M$3:$U$16,7,FALSE),"")</f>
        <v>9620</v>
      </c>
      <c r="H229" s="111">
        <f>IFERROR(VLOOKUP(H$4, Ambulance!$M$3:$U$16,7,FALSE),"")</f>
        <v>9866</v>
      </c>
      <c r="I229" s="111">
        <f>IFERROR(VLOOKUP(I$4, Ambulance!$M$3:$U$16,7,FALSE),"")</f>
        <v>9139</v>
      </c>
      <c r="J229" s="111">
        <f>IFERROR(VLOOKUP(J$4, Ambulance!$M$3:$U$16,7,FALSE),"")</f>
        <v>9076</v>
      </c>
      <c r="K229" s="111">
        <f>IFERROR(VLOOKUP(K$4, Ambulance!$M$3:$U$16,7,FALSE),"")</f>
        <v>8930</v>
      </c>
      <c r="L229" s="111">
        <f>IFERROR(VLOOKUP(L$4, Ambulance!$M$3:$U$16,7,FALSE),"")</f>
        <v>9275</v>
      </c>
      <c r="M229" s="111">
        <f>IFERROR(VLOOKUP(M$4, Ambulance!$M$3:$U$16,7,FALSE),"")</f>
        <v>8942</v>
      </c>
      <c r="N229" s="111">
        <f>IFERROR(VLOOKUP(N$4, Ambulance!$M$3:$U$16,7,FALSE),"")</f>
        <v>8896</v>
      </c>
      <c r="O229" s="111">
        <f>IFERROR(VLOOKUP(O$4, Ambulance!$M$3:$U$16,7,FALSE),"")</f>
        <v>9142</v>
      </c>
      <c r="P229" s="111">
        <f>IFERROR(VLOOKUP(P$4, Ambulance!$M$3:$U$16,7,FALSE),"")</f>
        <v>9190</v>
      </c>
      <c r="Q229" s="71" t="str">
        <f>IFERROR(VLOOKUP(Q$4, Ambulance!$M$3:$T$17,7,FALSE),"")</f>
        <v/>
      </c>
      <c r="Z229" s="130"/>
      <c r="AA229" s="130"/>
      <c r="AB229" s="130"/>
      <c r="AC229" s="130"/>
    </row>
    <row r="230" spans="2:29" s="43" customFormat="1" ht="9" customHeight="1" x14ac:dyDescent="0.25">
      <c r="B230" s="132"/>
      <c r="C230" s="11"/>
      <c r="D230" s="71"/>
      <c r="E230" s="71"/>
      <c r="F230" s="71"/>
      <c r="G230" s="71"/>
      <c r="H230" s="71"/>
      <c r="I230" s="71"/>
      <c r="J230" s="71"/>
      <c r="K230" s="71"/>
      <c r="L230" s="71"/>
      <c r="M230" s="71"/>
      <c r="N230" s="71"/>
      <c r="O230" s="71"/>
      <c r="P230" s="71"/>
      <c r="Q230" s="71"/>
      <c r="Z230" s="130"/>
      <c r="AA230" s="130"/>
      <c r="AB230" s="130"/>
      <c r="AC230" s="130"/>
    </row>
    <row r="231" spans="2:29" x14ac:dyDescent="0.25">
      <c r="B231" s="132"/>
      <c r="C231" s="40" t="s">
        <v>21</v>
      </c>
      <c r="D231" s="127">
        <v>0.12530660576841748</v>
      </c>
      <c r="E231" s="127">
        <v>0.15014885944313988</v>
      </c>
      <c r="F231" s="127">
        <v>0.12404496263579846</v>
      </c>
      <c r="G231" s="127">
        <v>0.17289623973962703</v>
      </c>
      <c r="H231" s="127">
        <v>0.17193423438272623</v>
      </c>
      <c r="I231" s="127">
        <v>0.13453524868507033</v>
      </c>
      <c r="J231" s="127">
        <v>0.1198134133611691</v>
      </c>
      <c r="K231" s="127">
        <v>0.11855178401088949</v>
      </c>
      <c r="L231" s="127">
        <v>0.1219345174406163</v>
      </c>
      <c r="M231" s="127">
        <v>0.11570790507453048</v>
      </c>
      <c r="N231" s="127">
        <v>0.14272379051726913</v>
      </c>
      <c r="O231" s="127">
        <v>0.13200000000000001</v>
      </c>
      <c r="P231" s="127">
        <v>0.12664236390268616</v>
      </c>
      <c r="Z231" s="130"/>
      <c r="AA231" s="130"/>
      <c r="AB231" s="130"/>
      <c r="AC231" s="130"/>
    </row>
    <row r="232" spans="2:29" x14ac:dyDescent="0.25">
      <c r="B232" s="132"/>
      <c r="C232" s="1" t="s">
        <v>234</v>
      </c>
      <c r="D232" s="7">
        <v>0.10951863099146422</v>
      </c>
      <c r="E232" s="7">
        <v>9.7181255452619339E-2</v>
      </c>
      <c r="F232" s="7">
        <v>9.7657708570909565E-2</v>
      </c>
      <c r="G232" s="7">
        <v>9.7997095485901006E-2</v>
      </c>
      <c r="H232" s="7">
        <v>0.12050142718418033</v>
      </c>
      <c r="I232" s="7">
        <v>0.12481898917479317</v>
      </c>
      <c r="J232" s="7">
        <v>0.11664634083851727</v>
      </c>
      <c r="K232" s="7">
        <v>0.12176768088751122</v>
      </c>
      <c r="L232" s="7">
        <v>0.12160417947141978</v>
      </c>
      <c r="M232" s="7">
        <v>0.13510918166268218</v>
      </c>
      <c r="N232" s="7">
        <v>0.1241996396469762</v>
      </c>
      <c r="O232" s="7">
        <v>0.11279371176106372</v>
      </c>
      <c r="P232" s="7">
        <v>0.10601850373162136</v>
      </c>
      <c r="Z232" s="130"/>
      <c r="AA232" s="130"/>
      <c r="AB232" s="130"/>
      <c r="AC232" s="130"/>
    </row>
    <row r="233" spans="2:29" ht="7.5" customHeight="1" x14ac:dyDescent="0.25">
      <c r="B233" s="132"/>
      <c r="Z233" s="130"/>
      <c r="AA233" s="130"/>
      <c r="AB233" s="130"/>
      <c r="AC233" s="130"/>
    </row>
    <row r="234" spans="2:29" x14ac:dyDescent="0.25">
      <c r="B234" s="132"/>
      <c r="C234" s="16" t="s">
        <v>268</v>
      </c>
      <c r="D234" s="68">
        <f>IFERROR(VLOOKUP(D$4,Ambulance!$AY$5:$BG$18,2,FALSE),"")</f>
        <v>0.14580191552896762</v>
      </c>
      <c r="E234" s="68">
        <f>IFERROR(VLOOKUP(E$4,Ambulance!$AY$5:$BG$18,2,FALSE),"")</f>
        <v>0.16260829548410333</v>
      </c>
      <c r="F234" s="68">
        <f>IFERROR(VLOOKUP(F$4,Ambulance!$AY$5:$BG$18,2,FALSE),"")</f>
        <v>0.17464612822647793</v>
      </c>
      <c r="G234" s="68">
        <f>IFERROR(VLOOKUP(G$4,Ambulance!$AY$5:$BG$18,2,FALSE),"")</f>
        <v>0.14498062054830657</v>
      </c>
      <c r="H234" s="68">
        <f>IFERROR(VLOOKUP(H$4,Ambulance!$AY$5:$BG$18,2,FALSE),"")</f>
        <v>0.1814773936302439</v>
      </c>
      <c r="I234" s="68">
        <f>IFERROR(VLOOKUP(I$4,Ambulance!$AY$5:$BG$18,2,FALSE),"")</f>
        <v>0.16348785226346904</v>
      </c>
      <c r="J234" s="68">
        <f>IFERROR(VLOOKUP(J$4,Ambulance!$AY$5:$BG$18,2,FALSE),"")</f>
        <v>0.13131665820213306</v>
      </c>
      <c r="K234" s="68">
        <f>IFERROR(VLOOKUP(K$4,Ambulance!$AY$5:$BG$18,2,FALSE),"")</f>
        <v>0.11060714400059765</v>
      </c>
      <c r="L234" s="68">
        <f>IFERROR(VLOOKUP(L$4,Ambulance!$AY$5:$BG$18,2,FALSE),"")</f>
        <v>0.14339145660439914</v>
      </c>
      <c r="M234" s="68">
        <f>IFERROR(VLOOKUP(M$4,Ambulance!$AY$5:$BG$18,2,FALSE),"")</f>
        <v>0.12353892993250867</v>
      </c>
      <c r="N234" s="68">
        <f>IFERROR(VLOOKUP(N$4,Ambulance!$AY$5:$BG$18,2,FALSE),"")</f>
        <v>0.1246746376044863</v>
      </c>
      <c r="O234" s="68">
        <f>IFERROR(VLOOKUP(O$4,Ambulance!$AY$5:$BG$18,2,FALSE),"")</f>
        <v>0.12125818028287946</v>
      </c>
      <c r="P234" s="68">
        <f>IFERROR(VLOOKUP(P$4,Ambulance!$AY$5:$BG$18,2,FALSE),"")</f>
        <v>0.12861921298762172</v>
      </c>
      <c r="Q234" s="95" t="str">
        <f>IFERROR(VLOOKUP(Q$4,Ambulance!$AY$5:$BF$19,2,FALSE),"")</f>
        <v/>
      </c>
      <c r="S234" s="3"/>
      <c r="T234" s="103"/>
      <c r="Z234" s="130"/>
      <c r="AA234" s="130"/>
      <c r="AB234" s="130"/>
      <c r="AC234" s="130"/>
    </row>
    <row r="235" spans="2:29" x14ac:dyDescent="0.25">
      <c r="B235" s="132"/>
      <c r="C235" s="1" t="s">
        <v>1</v>
      </c>
      <c r="D235" s="110">
        <f>IFERROR(VLOOKUP(D$4,Ambulance!$AY$5:$BG$18,3,FALSE),"")</f>
        <v>0.1488432714239166</v>
      </c>
      <c r="E235" s="110">
        <f>IFERROR(VLOOKUP(E$4,Ambulance!$AY$5:$BG$18,3,FALSE),"")</f>
        <v>0.14746454245191373</v>
      </c>
      <c r="F235" s="110">
        <f>IFERROR(VLOOKUP(F$4,Ambulance!$AY$5:$BG$18,3,FALSE),"")</f>
        <v>0.16194004715392388</v>
      </c>
      <c r="G235" s="110">
        <f>IFERROR(VLOOKUP(G$4,Ambulance!$AY$5:$BG$18,3,FALSE),"")</f>
        <v>0.13531998045920859</v>
      </c>
      <c r="H235" s="110">
        <f>IFERROR(VLOOKUP(H$4,Ambulance!$AY$5:$BG$18,3,FALSE),"")</f>
        <v>0.18142988566171639</v>
      </c>
      <c r="I235" s="110">
        <f>IFERROR(VLOOKUP(I$4,Ambulance!$AY$5:$BG$18,3,FALSE),"")</f>
        <v>0.17534043413779157</v>
      </c>
      <c r="J235" s="110">
        <f>IFERROR(VLOOKUP(J$4,Ambulance!$AY$5:$BG$18,3,FALSE),"")</f>
        <v>0.14608188720173534</v>
      </c>
      <c r="K235" s="110">
        <f>IFERROR(VLOOKUP(K$4,Ambulance!$AY$5:$BG$18,3,FALSE),"")</f>
        <v>0.13531663420858236</v>
      </c>
      <c r="L235" s="110">
        <f>IFERROR(VLOOKUP(L$4,Ambulance!$AY$5:$BG$18,3,FALSE),"")</f>
        <v>0.15835097935415562</v>
      </c>
      <c r="M235" s="110">
        <f>IFERROR(VLOOKUP(M$4,Ambulance!$AY$5:$BG$18,3,FALSE),"")</f>
        <v>0.15785524251313188</v>
      </c>
      <c r="N235" s="110">
        <f>IFERROR(VLOOKUP(N$4,Ambulance!$AY$5:$BG$18,3,FALSE),"")</f>
        <v>0.15612606971404716</v>
      </c>
      <c r="O235" s="110">
        <f>IFERROR(VLOOKUP(O$4,Ambulance!$AY$5:$BG$18,3,FALSE),"")</f>
        <v>0.13377813721525811</v>
      </c>
      <c r="P235" s="110">
        <f>IFERROR(VLOOKUP(P$4,Ambulance!$AY$5:$BG$18,3,FALSE),"")</f>
        <v>0.13244147157190636</v>
      </c>
      <c r="Q235" s="70" t="str">
        <f>IFERROR(VLOOKUP(Q$4,Ambulance!$AY$5:$BF$19,3,FALSE),"")</f>
        <v/>
      </c>
      <c r="Z235" s="130"/>
      <c r="AA235" s="130"/>
      <c r="AB235" s="130"/>
      <c r="AC235" s="130"/>
    </row>
    <row r="236" spans="2:29" x14ac:dyDescent="0.25">
      <c r="B236" s="132"/>
      <c r="C236" s="1" t="s">
        <v>241</v>
      </c>
      <c r="D236" s="110">
        <f>IFERROR(VLOOKUP(D$4,Ambulance!$AY$5:$BG$18,4,FALSE),"")</f>
        <v>0.19453177098218538</v>
      </c>
      <c r="E236" s="110">
        <f>IFERROR(VLOOKUP(E$4,Ambulance!$AY$5:$BG$18,4,FALSE),"")</f>
        <v>0.22681337363052512</v>
      </c>
      <c r="F236" s="110">
        <f>IFERROR(VLOOKUP(F$4,Ambulance!$AY$5:$BG$18,4,FALSE),"")</f>
        <v>0.2553574815095771</v>
      </c>
      <c r="G236" s="110">
        <f>IFERROR(VLOOKUP(G$4,Ambulance!$AY$5:$BG$18,4,FALSE),"")</f>
        <v>0.19747388875394706</v>
      </c>
      <c r="H236" s="110">
        <f>IFERROR(VLOOKUP(H$4,Ambulance!$AY$5:$BG$18,4,FALSE),"")</f>
        <v>0.24666305472097719</v>
      </c>
      <c r="I236" s="110">
        <f>IFERROR(VLOOKUP(I$4,Ambulance!$AY$5:$BG$18,4,FALSE),"")</f>
        <v>0.22248431618569636</v>
      </c>
      <c r="J236" s="110">
        <f>IFERROR(VLOOKUP(J$4,Ambulance!$AY$5:$BG$18,4,FALSE),"")</f>
        <v>0.1681697069071531</v>
      </c>
      <c r="K236" s="110">
        <f>IFERROR(VLOOKUP(K$4,Ambulance!$AY$5:$BG$18,4,FALSE),"")</f>
        <v>0.13586171310629516</v>
      </c>
      <c r="L236" s="110">
        <f>IFERROR(VLOOKUP(L$4,Ambulance!$AY$5:$BG$18,4,FALSE),"")</f>
        <v>0.17845561410620187</v>
      </c>
      <c r="M236" s="110">
        <f>IFERROR(VLOOKUP(M$4,Ambulance!$AY$5:$BG$18,4,FALSE),"")</f>
        <v>0.1578359723913926</v>
      </c>
      <c r="N236" s="110">
        <f>IFERROR(VLOOKUP(N$4,Ambulance!$AY$5:$BG$18,4,FALSE),"")</f>
        <v>0.1690387016229713</v>
      </c>
      <c r="O236" s="110">
        <f>IFERROR(VLOOKUP(O$4,Ambulance!$AY$5:$BG$18,4,FALSE),"")</f>
        <v>0.16407197735543874</v>
      </c>
      <c r="P236" s="110">
        <f>IFERROR(VLOOKUP(P$4,Ambulance!$AY$5:$BG$18,4,FALSE),"")</f>
        <v>0.18443963564994212</v>
      </c>
      <c r="Q236" s="70" t="str">
        <f>IFERROR(VLOOKUP(Q$4,Ambulance!$AY$5:$BF$19,4,FALSE),"")</f>
        <v/>
      </c>
      <c r="Z236" s="130"/>
      <c r="AA236" s="130"/>
      <c r="AB236" s="130"/>
      <c r="AC236" s="130"/>
    </row>
    <row r="237" spans="2:29" x14ac:dyDescent="0.25">
      <c r="B237" s="132"/>
      <c r="C237" s="1" t="s">
        <v>281</v>
      </c>
      <c r="D237" s="110">
        <f>IFERROR(VLOOKUP(D$4,Ambulance!$AY$5:$BG$18,8,FALSE),"")</f>
        <v>0.16982421875000001</v>
      </c>
      <c r="E237" s="110">
        <f>IFERROR(VLOOKUP(E$4,Ambulance!$AY$5:$BG$18,8,FALSE),"")</f>
        <v>0.20497135644237305</v>
      </c>
      <c r="F237" s="110">
        <f>IFERROR(VLOOKUP(F$4,Ambulance!$AY$5:$BG$18,8,FALSE),"")</f>
        <v>0.21397298556124825</v>
      </c>
      <c r="G237" s="110">
        <f>IFERROR(VLOOKUP(G$4,Ambulance!$AY$5:$BG$18,8,FALSE),"")</f>
        <v>0.19808520823360459</v>
      </c>
      <c r="H237" s="110">
        <f>IFERROR(VLOOKUP(H$4,Ambulance!$AY$5:$BG$18,8,FALSE),"")</f>
        <v>0.25291939618342352</v>
      </c>
      <c r="I237" s="110">
        <f>IFERROR(VLOOKUP(I$4,Ambulance!$AY$5:$BG$18,8,FALSE),"")</f>
        <v>0.23242608184844332</v>
      </c>
      <c r="J237" s="110">
        <f>IFERROR(VLOOKUP(J$4,Ambulance!$AY$5:$BG$18,8,FALSE),"")</f>
        <v>0.15689429749572564</v>
      </c>
      <c r="K237" s="110">
        <f>IFERROR(VLOOKUP(K$4,Ambulance!$AY$5:$BG$18,8,FALSE),"")</f>
        <v>0.15689655172413794</v>
      </c>
      <c r="L237" s="110">
        <f>IFERROR(VLOOKUP(L$4,Ambulance!$AY$5:$BG$18,8,FALSE),"")</f>
        <v>0.19886585842784513</v>
      </c>
      <c r="M237" s="110">
        <f>IFERROR(VLOOKUP(M$4,Ambulance!$AY$5:$BG$18,8,FALSE),"")</f>
        <v>0.13473512299683577</v>
      </c>
      <c r="N237" s="110">
        <f>IFERROR(VLOOKUP(N$4,Ambulance!$AY$5:$BG$18,8,FALSE),"")</f>
        <v>0.15503798480607756</v>
      </c>
      <c r="O237" s="110">
        <f>IFERROR(VLOOKUP(O$4,Ambulance!$AY$5:$BG$18,8,FALSE),"")</f>
        <v>0.16023048928427011</v>
      </c>
      <c r="P237" s="110">
        <f>IFERROR(VLOOKUP(P$4,Ambulance!$AY$5:$BG$18,8,FALSE),"")</f>
        <v>0.17622618565058776</v>
      </c>
      <c r="Q237" s="70"/>
      <c r="Z237" s="130"/>
      <c r="AA237" s="130"/>
      <c r="AB237" s="130"/>
      <c r="AC237" s="130"/>
    </row>
    <row r="238" spans="2:29" x14ac:dyDescent="0.25">
      <c r="B238" s="132"/>
      <c r="C238" s="1" t="s">
        <v>282</v>
      </c>
      <c r="D238" s="110">
        <f>IFERROR(VLOOKUP(D$4,Ambulance!$AY$5:$BG$18,5,FALSE),"")</f>
        <v>0.14652195362604833</v>
      </c>
      <c r="E238" s="110">
        <f>IFERROR(VLOOKUP(E$4,Ambulance!$AY$5:$BG$18,5,FALSE),"")</f>
        <v>0.16894325096237428</v>
      </c>
      <c r="F238" s="110">
        <f>IFERROR(VLOOKUP(F$4,Ambulance!$AY$5:$BG$18,5,FALSE),"")</f>
        <v>0.15238746580452625</v>
      </c>
      <c r="G238" s="110">
        <f>IFERROR(VLOOKUP(G$4,Ambulance!$AY$5:$BG$18,5,FALSE),"")</f>
        <v>0.13789237668161436</v>
      </c>
      <c r="H238" s="110">
        <f>IFERROR(VLOOKUP(H$4,Ambulance!$AY$5:$BG$18,5,FALSE),"")</f>
        <v>0.16933293087835799</v>
      </c>
      <c r="I238" s="110">
        <f>IFERROR(VLOOKUP(I$4,Ambulance!$AY$5:$BG$18,5,FALSE),"")</f>
        <v>0.13443489755452742</v>
      </c>
      <c r="J238" s="110">
        <f>IFERROR(VLOOKUP(J$4,Ambulance!$AY$5:$BG$18,5,FALSE),"")</f>
        <v>0.11709662746117357</v>
      </c>
      <c r="K238" s="110">
        <f>IFERROR(VLOOKUP(K$4,Ambulance!$AY$5:$BG$18,5,FALSE),"")</f>
        <v>9.4900662251655624E-2</v>
      </c>
      <c r="L238" s="110">
        <f>IFERROR(VLOOKUP(L$4,Ambulance!$AY$5:$BG$18,5,FALSE),"")</f>
        <v>0.11267874165872259</v>
      </c>
      <c r="M238" s="110">
        <f>IFERROR(VLOOKUP(M$4,Ambulance!$AY$5:$BG$18,5,FALSE),"")</f>
        <v>9.6102509343299516E-2</v>
      </c>
      <c r="N238" s="110">
        <f>IFERROR(VLOOKUP(N$4,Ambulance!$AY$5:$BG$18,5,FALSE),"")</f>
        <v>0.10555264536406496</v>
      </c>
      <c r="O238" s="110">
        <f>IFERROR(VLOOKUP(O$4,Ambulance!$AY$5:$BG$18,5,FALSE),"")</f>
        <v>9.8737984698881842E-2</v>
      </c>
      <c r="P238" s="110">
        <f>IFERROR(VLOOKUP(P$4,Ambulance!$AY$5:$BG$18,5,FALSE),"")</f>
        <v>9.3951264856251243E-2</v>
      </c>
      <c r="Q238" s="70"/>
      <c r="Z238" s="130"/>
      <c r="AA238" s="130"/>
      <c r="AB238" s="130"/>
      <c r="AC238" s="130"/>
    </row>
    <row r="239" spans="2:29" x14ac:dyDescent="0.25">
      <c r="B239" s="132"/>
      <c r="C239" s="1" t="s">
        <v>284</v>
      </c>
      <c r="D239" s="110">
        <f>IFERROR(VLOOKUP(D$4,Ambulance!$AY$5:$BG$18,9,FALSE),"")</f>
        <v>0.19187254675594551</v>
      </c>
      <c r="E239" s="110">
        <f>IFERROR(VLOOKUP(E$4,Ambulance!$AY$5:$BG$18,9,FALSE),"")</f>
        <v>0.20683962264150943</v>
      </c>
      <c r="F239" s="110">
        <f>IFERROR(VLOOKUP(F$4,Ambulance!$AY$5:$BG$18,9,FALSE),"")</f>
        <v>0.21364329268292684</v>
      </c>
      <c r="G239" s="110">
        <f>IFERROR(VLOOKUP(G$4,Ambulance!$AY$5:$BG$18,9,FALSE),"")</f>
        <v>0.16846095526914329</v>
      </c>
      <c r="H239" s="110">
        <f>IFERROR(VLOOKUP(H$4,Ambulance!$AY$5:$BG$18,9,FALSE),"")</f>
        <v>0.20073411332874513</v>
      </c>
      <c r="I239" s="110">
        <f>IFERROR(VLOOKUP(I$4,Ambulance!$AY$5:$BG$18,9,FALSE),"")</f>
        <v>0.1715579270757539</v>
      </c>
      <c r="J239" s="110">
        <f>IFERROR(VLOOKUP(J$4,Ambulance!$AY$5:$BG$18,9,FALSE),"")</f>
        <v>0.15781613010288748</v>
      </c>
      <c r="K239" s="110">
        <f>IFERROR(VLOOKUP(K$4,Ambulance!$AY$5:$BG$18,9,FALSE),"")</f>
        <v>0.12611520138588134</v>
      </c>
      <c r="L239" s="110">
        <f>IFERROR(VLOOKUP(L$4,Ambulance!$AY$5:$BG$18,9,FALSE),"")</f>
        <v>0.15698157064585755</v>
      </c>
      <c r="M239" s="110">
        <f>IFERROR(VLOOKUP(M$4,Ambulance!$AY$5:$BG$18,9,FALSE),"")</f>
        <v>0.14112597828831103</v>
      </c>
      <c r="N239" s="110">
        <f>IFERROR(VLOOKUP(N$4,Ambulance!$AY$5:$BG$18,9,FALSE),"")</f>
        <v>0.11751345895020189</v>
      </c>
      <c r="O239" s="110">
        <f>IFERROR(VLOOKUP(O$4,Ambulance!$AY$5:$BG$18,9,FALSE),"")</f>
        <v>0.11962756671377504</v>
      </c>
      <c r="P239" s="110">
        <f>IFERROR(VLOOKUP(P$4,Ambulance!$AY$5:$BG$18,9,FALSE),"")</f>
        <v>0.12410265613783202</v>
      </c>
      <c r="Q239" s="70" t="str">
        <f>IFERROR(VLOOKUP(Q$4,Ambulance!$AY$5:$BF$19,5,FALSE),"")</f>
        <v/>
      </c>
      <c r="Z239" s="130"/>
      <c r="AA239" s="130"/>
      <c r="AB239" s="130"/>
      <c r="AC239" s="130"/>
    </row>
    <row r="240" spans="2:29" ht="15.75" customHeight="1" x14ac:dyDescent="0.25">
      <c r="B240" s="132"/>
      <c r="C240" s="1" t="s">
        <v>238</v>
      </c>
      <c r="D240" s="110">
        <f>IFERROR(VLOOKUP(D$4,Ambulance!$AY$5:$BG$18,6,FALSE),"")</f>
        <v>8.7505115263947622E-2</v>
      </c>
      <c r="E240" s="110">
        <f>IFERROR(VLOOKUP(E$4,Ambulance!$AY$5:$BG$18,6,FALSE),"")</f>
        <v>8.4693877551020411E-2</v>
      </c>
      <c r="F240" s="110">
        <f>IFERROR(VLOOKUP(F$4,Ambulance!$AY$5:$BG$18,6,FALSE),"")</f>
        <v>0.118886230728336</v>
      </c>
      <c r="G240" s="110">
        <f>IFERROR(VLOOKUP(G$4,Ambulance!$AY$5:$BG$18,6,FALSE),"")</f>
        <v>9.0699783715900373E-2</v>
      </c>
      <c r="H240" s="110">
        <f>IFERROR(VLOOKUP(H$4,Ambulance!$AY$5:$BG$18,6,FALSE),"")</f>
        <v>0.11754514559872059</v>
      </c>
      <c r="I240" s="110">
        <f>IFERROR(VLOOKUP(I$4,Ambulance!$AY$5:$BG$18,6,FALSE),"")</f>
        <v>0.11849649607135272</v>
      </c>
      <c r="J240" s="110">
        <f>IFERROR(VLOOKUP(J$4,Ambulance!$AY$5:$BG$18,6,FALSE),"")</f>
        <v>9.6343586767266398E-2</v>
      </c>
      <c r="K240" s="110">
        <f>IFERROR(VLOOKUP(K$4,Ambulance!$AY$5:$BG$18,6,FALSE),"")</f>
        <v>7.1096820292961771E-2</v>
      </c>
      <c r="L240" s="110">
        <f>IFERROR(VLOOKUP(L$4,Ambulance!$AY$5:$BG$18,6,FALSE),"")</f>
        <v>0.1167025787168972</v>
      </c>
      <c r="M240" s="110">
        <f>IFERROR(VLOOKUP(M$4,Ambulance!$AY$5:$BG$18,6,FALSE),"")</f>
        <v>9.9506049108740779E-2</v>
      </c>
      <c r="N240" s="110">
        <f>IFERROR(VLOOKUP(N$4,Ambulance!$AY$5:$BG$18,6,FALSE),"")</f>
        <v>8.8528323370338738E-2</v>
      </c>
      <c r="O240" s="110">
        <f>IFERROR(VLOOKUP(O$4,Ambulance!$AY$5:$BG$18,6,FALSE),"")</f>
        <v>9.2355762243859899E-2</v>
      </c>
      <c r="P240" s="110">
        <f>IFERROR(VLOOKUP(P$4,Ambulance!$AY$5:$BG$18,6,FALSE),"")</f>
        <v>0.10021754894851341</v>
      </c>
      <c r="Q240" s="70" t="str">
        <f>IFERROR(VLOOKUP(Q$4,Ambulance!$AY$5:$BF$19,6,FALSE),"")</f>
        <v/>
      </c>
      <c r="Z240" s="130"/>
      <c r="AA240" s="130"/>
      <c r="AB240" s="130"/>
      <c r="AC240" s="130"/>
    </row>
    <row r="241" spans="2:29" ht="15.75" customHeight="1" x14ac:dyDescent="0.25">
      <c r="B241" s="132"/>
      <c r="C241" s="11" t="s">
        <v>243</v>
      </c>
      <c r="D241" s="110">
        <f>IFERROR(VLOOKUP(D$4,Ambulance!$AY$5:$BG$18,7,FALSE),"")</f>
        <v>3.5127595826015087E-2</v>
      </c>
      <c r="E241" s="110">
        <f>IFERROR(VLOOKUP(E$4,Ambulance!$AY$5:$BG$18,7,FALSE),"")</f>
        <v>4.8970155527532575E-2</v>
      </c>
      <c r="F241" s="110">
        <f>IFERROR(VLOOKUP(F$4,Ambulance!$AY$5:$BG$18,7,FALSE),"")</f>
        <v>4.9096385542168677E-2</v>
      </c>
      <c r="G241" s="110">
        <f>IFERROR(VLOOKUP(G$4,Ambulance!$AY$5:$BG$18,7,FALSE),"")</f>
        <v>4.9896049896049899E-2</v>
      </c>
      <c r="H241" s="110">
        <f>IFERROR(VLOOKUP(H$4,Ambulance!$AY$5:$BG$18,7,FALSE),"")</f>
        <v>6.3247516724102976E-2</v>
      </c>
      <c r="I241" s="110">
        <f>IFERROR(VLOOKUP(I$4,Ambulance!$AY$5:$BG$18,7,FALSE),"")</f>
        <v>4.5300361089834776E-2</v>
      </c>
      <c r="J241" s="110">
        <f>IFERROR(VLOOKUP(J$4,Ambulance!$AY$5:$BG$18,7,FALSE),"")</f>
        <v>4.2089026002644338E-2</v>
      </c>
      <c r="K241" s="110">
        <f>IFERROR(VLOOKUP(K$4,Ambulance!$AY$5:$BG$18,7,FALSE),"")</f>
        <v>3.1914893617021274E-2</v>
      </c>
      <c r="L241" s="110">
        <f>IFERROR(VLOOKUP(L$4,Ambulance!$AY$5:$BG$18,7,FALSE),"")</f>
        <v>5.9083557951482478E-2</v>
      </c>
      <c r="M241" s="110">
        <f>IFERROR(VLOOKUP(M$4,Ambulance!$AY$5:$BG$18,7,FALSE),"")</f>
        <v>3.9588458957727578E-2</v>
      </c>
      <c r="N241" s="110">
        <f>IFERROR(VLOOKUP(N$4,Ambulance!$AY$5:$BG$18,7,FALSE),"")</f>
        <v>3.9343525179856113E-2</v>
      </c>
      <c r="O241" s="110">
        <f>IFERROR(VLOOKUP(O$4,Ambulance!$AY$5:$BG$18,7,FALSE),"")</f>
        <v>4.9442135200175014E-2</v>
      </c>
      <c r="P241" s="110">
        <f>IFERROR(VLOOKUP(P$4,Ambulance!$AY$5:$BG$18,7,FALSE),"")</f>
        <v>5.5495103373231776E-2</v>
      </c>
      <c r="Q241" s="70" t="str">
        <f>IFERROR(VLOOKUP(Q$4,Ambulance!$AY$5:$BF$19,7,FALSE),"")</f>
        <v/>
      </c>
      <c r="Z241" s="130"/>
      <c r="AA241" s="130"/>
      <c r="AB241" s="130"/>
      <c r="AC241" s="130"/>
    </row>
    <row r="242" spans="2:29" s="43" customFormat="1" ht="10.5" customHeight="1" x14ac:dyDescent="0.25">
      <c r="B242" s="132"/>
      <c r="C242" s="11"/>
      <c r="D242" s="70"/>
      <c r="E242" s="70"/>
      <c r="F242" s="70"/>
      <c r="G242" s="70"/>
      <c r="H242" s="70"/>
      <c r="I242" s="70"/>
      <c r="J242" s="70"/>
      <c r="K242" s="70"/>
      <c r="L242" s="70"/>
      <c r="M242" s="70"/>
      <c r="N242" s="70"/>
      <c r="O242" s="70"/>
      <c r="P242" s="70"/>
      <c r="Q242" s="70"/>
      <c r="Z242" s="130"/>
      <c r="AA242" s="130"/>
      <c r="AB242" s="130"/>
      <c r="AC242" s="130"/>
    </row>
    <row r="243" spans="2:29" x14ac:dyDescent="0.25">
      <c r="B243" s="132"/>
      <c r="C243" s="40" t="s">
        <v>22</v>
      </c>
      <c r="D243" s="127">
        <v>2.4708195889368182E-2</v>
      </c>
      <c r="E243" s="127">
        <v>3.5893995303589402E-2</v>
      </c>
      <c r="F243" s="127">
        <v>2.5254851066502E-2</v>
      </c>
      <c r="G243" s="127">
        <v>4.8451476879618448E-2</v>
      </c>
      <c r="H243" s="127">
        <v>5.2352892698203396E-2</v>
      </c>
      <c r="I243" s="127">
        <v>2.8066116056603571E-2</v>
      </c>
      <c r="J243" s="127">
        <v>2.4149704244954766E-2</v>
      </c>
      <c r="K243" s="127">
        <v>2.2968671289696787E-2</v>
      </c>
      <c r="L243" s="127">
        <v>2.4802054354804193E-2</v>
      </c>
      <c r="M243" s="127">
        <v>2.3989667976107194E-2</v>
      </c>
      <c r="N243" s="127">
        <v>3.1630561903842232E-2</v>
      </c>
      <c r="O243" s="127">
        <v>3.1E-2</v>
      </c>
      <c r="P243" s="127">
        <v>2.7786649632705204E-2</v>
      </c>
      <c r="Z243" s="130"/>
      <c r="AA243" s="130"/>
      <c r="AB243" s="130"/>
      <c r="AC243" s="130"/>
    </row>
    <row r="244" spans="2:29" x14ac:dyDescent="0.25">
      <c r="B244" s="132"/>
      <c r="C244" s="1" t="s">
        <v>234</v>
      </c>
      <c r="D244" s="7">
        <v>1.9892892317793828E-2</v>
      </c>
      <c r="E244" s="7">
        <v>1.5485438909891571E-2</v>
      </c>
      <c r="F244" s="7">
        <v>1.7599983853225823E-2</v>
      </c>
      <c r="G244" s="7">
        <v>1.8455766670700716E-2</v>
      </c>
      <c r="H244" s="7">
        <v>2.9289154381112126E-2</v>
      </c>
      <c r="I244" s="7">
        <v>2.804022237749491E-2</v>
      </c>
      <c r="J244" s="7">
        <v>2.3868329626858788E-2</v>
      </c>
      <c r="K244" s="7">
        <v>2.5999999999999999E-2</v>
      </c>
      <c r="L244" s="7">
        <v>2.6849006351157549E-2</v>
      </c>
      <c r="M244" s="7">
        <v>3.0728911384301446E-2</v>
      </c>
      <c r="N244" s="7">
        <v>2.4888789356352494E-2</v>
      </c>
      <c r="O244" s="7">
        <v>2.2353052293549096E-2</v>
      </c>
      <c r="P244" s="7">
        <v>1.8184334642860945E-2</v>
      </c>
      <c r="Z244" s="130"/>
      <c r="AA244" s="130"/>
      <c r="AB244" s="130"/>
      <c r="AC244" s="130"/>
    </row>
    <row r="245" spans="2:29" ht="7.5" customHeight="1" x14ac:dyDescent="0.25">
      <c r="B245" s="132"/>
      <c r="Z245" s="130"/>
      <c r="AA245" s="130"/>
      <c r="AB245" s="130"/>
      <c r="AC245" s="130"/>
    </row>
    <row r="246" spans="2:29" x14ac:dyDescent="0.25">
      <c r="B246" s="132"/>
      <c r="C246" s="16" t="s">
        <v>268</v>
      </c>
      <c r="D246" s="64">
        <f>IFERROR(VLOOKUP(D$4,Ambulance!$AY$22:$BG$35,2,FALSE),"")</f>
        <v>3.1749043733583678E-2</v>
      </c>
      <c r="E246" s="64">
        <f>IFERROR(VLOOKUP(E$4,Ambulance!$AY$22:$BG$35,2,FALSE),"")</f>
        <v>4.4708777686628384E-2</v>
      </c>
      <c r="F246" s="64">
        <f>IFERROR(VLOOKUP(F$4,Ambulance!$AY$22:$BG$35,2,FALSE),"")</f>
        <v>4.9462749296221402E-2</v>
      </c>
      <c r="G246" s="64">
        <f>IFERROR(VLOOKUP(G$4,Ambulance!$AY$22:$BG$35,2,FALSE),"")</f>
        <v>3.6506422614095251E-2</v>
      </c>
      <c r="H246" s="64">
        <f>IFERROR(VLOOKUP(H$4,Ambulance!$AY$22:$BG$35,2,FALSE),"")</f>
        <v>5.3962950809891719E-2</v>
      </c>
      <c r="I246" s="64">
        <f>IFERROR(VLOOKUP(I$4,Ambulance!$AY$22:$BG$35,2,FALSE),"")</f>
        <v>4.3859282625498756E-2</v>
      </c>
      <c r="J246" s="64">
        <f>IFERROR(VLOOKUP(J$4,Ambulance!$AY$22:$BG$35,2,FALSE),"")</f>
        <v>2.7287540206534618E-2</v>
      </c>
      <c r="K246" s="64">
        <f>IFERROR(VLOOKUP(K$4,Ambulance!$AY$22:$BG$35,2,FALSE),"")</f>
        <v>2.0383987364062283E-2</v>
      </c>
      <c r="L246" s="64">
        <f>IFERROR(VLOOKUP(L$4,Ambulance!$AY$22:$BG$35,2,FALSE),"")</f>
        <v>3.035671733026658E-2</v>
      </c>
      <c r="M246" s="64">
        <f>IFERROR(VLOOKUP(M$4,Ambulance!$AY$22:$BG$35,2,FALSE),"")</f>
        <v>2.4111648108326767E-2</v>
      </c>
      <c r="N246" s="64">
        <f>IFERROR(VLOOKUP(N$4,Ambulance!$AY$22:$BG$35,2,FALSE),"")</f>
        <v>2.2643106549571475E-2</v>
      </c>
      <c r="O246" s="64">
        <f>IFERROR(VLOOKUP(O$4,Ambulance!$AY$22:$BG$35,2,FALSE),"")</f>
        <v>2.096263457884737E-2</v>
      </c>
      <c r="P246" s="64">
        <f>IFERROR(VLOOKUP(P$4,Ambulance!$AY$22:$BG$35,2,FALSE),"")</f>
        <v>2.56727102286043E-2</v>
      </c>
      <c r="Q246" s="95" t="str">
        <f>IFERROR(VLOOKUP(Q$4,Ambulance!$AY$22:$BF$36,2,FALSE),"")</f>
        <v/>
      </c>
      <c r="Z246" s="130"/>
      <c r="AA246" s="130"/>
      <c r="AB246" s="130"/>
      <c r="AC246" s="130"/>
    </row>
    <row r="247" spans="2:29" x14ac:dyDescent="0.25">
      <c r="B247" s="132"/>
      <c r="C247" s="1" t="s">
        <v>1</v>
      </c>
      <c r="D247" s="110">
        <f>IFERROR(VLOOKUP(D$4,Ambulance!$AY$22:$BG$35,3,FALSE),"")</f>
        <v>1.8703160638644509E-2</v>
      </c>
      <c r="E247" s="110">
        <f>IFERROR(VLOOKUP(E$4,Ambulance!$AY$22:$BG$35,3,FALSE),"")</f>
        <v>2.3897415970468235E-2</v>
      </c>
      <c r="F247" s="110">
        <f>IFERROR(VLOOKUP(F$4,Ambulance!$AY$22:$BG$35,3,FALSE),"")</f>
        <v>3.4691815426069382E-2</v>
      </c>
      <c r="G247" s="110">
        <f>IFERROR(VLOOKUP(G$4,Ambulance!$AY$22:$BG$35,3,FALSE),"")</f>
        <v>2.0099099727824692E-2</v>
      </c>
      <c r="H247" s="110">
        <f>IFERROR(VLOOKUP(H$4,Ambulance!$AY$22:$BG$35,3,FALSE),"")</f>
        <v>3.5352871599421735E-2</v>
      </c>
      <c r="I247" s="110">
        <f>IFERROR(VLOOKUP(I$4,Ambulance!$AY$22:$BG$35,3,FALSE),"")</f>
        <v>3.9840906026695426E-2</v>
      </c>
      <c r="J247" s="110">
        <f>IFERROR(VLOOKUP(J$4,Ambulance!$AY$22:$BG$35,3,FALSE),"")</f>
        <v>1.9183839479392624E-2</v>
      </c>
      <c r="K247" s="110">
        <f>IFERROR(VLOOKUP(K$4,Ambulance!$AY$22:$BG$35,3,FALSE),"")</f>
        <v>1.638573635081593E-2</v>
      </c>
      <c r="L247" s="110">
        <f>IFERROR(VLOOKUP(L$4,Ambulance!$AY$22:$BG$35,3,FALSE),"")</f>
        <v>2.0712016940179989E-2</v>
      </c>
      <c r="M247" s="110">
        <f>IFERROR(VLOOKUP(M$4,Ambulance!$AY$22:$BG$35,3,FALSE),"")</f>
        <v>1.8691588785046728E-2</v>
      </c>
      <c r="N247" s="110">
        <f>IFERROR(VLOOKUP(N$4,Ambulance!$AY$22:$BG$35,3,FALSE),"")</f>
        <v>1.8159048215403883E-2</v>
      </c>
      <c r="O247" s="110">
        <f>IFERROR(VLOOKUP(O$4,Ambulance!$AY$22:$BG$35,3,FALSE),"")</f>
        <v>1.1187491575684055E-2</v>
      </c>
      <c r="P247" s="110">
        <f>IFERROR(VLOOKUP(P$4,Ambulance!$AY$22:$BG$35,3,FALSE),"")</f>
        <v>1.2173913043478261E-2</v>
      </c>
      <c r="Q247" s="70" t="str">
        <f>IFERROR(VLOOKUP(Q$4,Ambulance!$AY$22:$BF$36,3,FALSE),"")</f>
        <v/>
      </c>
      <c r="Z247" s="130"/>
      <c r="AA247" s="130"/>
      <c r="AB247" s="130"/>
      <c r="AC247" s="130"/>
    </row>
    <row r="248" spans="2:29" x14ac:dyDescent="0.25">
      <c r="B248" s="132"/>
      <c r="C248" s="1" t="s">
        <v>241</v>
      </c>
      <c r="D248" s="110">
        <f>IFERROR(VLOOKUP(D$4,Ambulance!$AY$22:$BG$35,4,FALSE),"")</f>
        <v>4.4536534247880344E-2</v>
      </c>
      <c r="E248" s="110">
        <f>IFERROR(VLOOKUP(E$4,Ambulance!$AY$22:$BG$35,4,FALSE),"")</f>
        <v>6.5120891575368337E-2</v>
      </c>
      <c r="F248" s="110">
        <f>IFERROR(VLOOKUP(F$4,Ambulance!$AY$22:$BG$35,4,FALSE),"")</f>
        <v>7.8370946330362221E-2</v>
      </c>
      <c r="G248" s="110">
        <f>IFERROR(VLOOKUP(G$4,Ambulance!$AY$22:$BG$35,4,FALSE),"")</f>
        <v>5.7809084284673302E-2</v>
      </c>
      <c r="H248" s="110">
        <f>IFERROR(VLOOKUP(H$4,Ambulance!$AY$22:$BG$35,4,FALSE),"")</f>
        <v>7.9347879623700934E-2</v>
      </c>
      <c r="I248" s="110">
        <f>IFERROR(VLOOKUP(I$4,Ambulance!$AY$22:$BG$35,4,FALSE),"")</f>
        <v>6.664993726474279E-2</v>
      </c>
      <c r="J248" s="110">
        <f>IFERROR(VLOOKUP(J$4,Ambulance!$AY$22:$BG$35,4,FALSE),"")</f>
        <v>4.0120926419348224E-2</v>
      </c>
      <c r="K248" s="110">
        <f>IFERROR(VLOOKUP(K$4,Ambulance!$AY$22:$BG$35,4,FALSE),"")</f>
        <v>2.4922600619195046E-2</v>
      </c>
      <c r="L248" s="110">
        <f>IFERROR(VLOOKUP(L$4,Ambulance!$AY$22:$BG$35,4,FALSE),"")</f>
        <v>4.8439400081070123E-2</v>
      </c>
      <c r="M248" s="110">
        <f>IFERROR(VLOOKUP(M$4,Ambulance!$AY$22:$BG$35,4,FALSE),"")</f>
        <v>3.9636622005684123E-2</v>
      </c>
      <c r="N248" s="110">
        <f>IFERROR(VLOOKUP(N$4,Ambulance!$AY$22:$BG$35,4,FALSE),"")</f>
        <v>3.9151061173533085E-2</v>
      </c>
      <c r="O248" s="110">
        <f>IFERROR(VLOOKUP(O$4,Ambulance!$AY$22:$BG$35,4,FALSE),"")</f>
        <v>2.6738778811160532E-2</v>
      </c>
      <c r="P248" s="110">
        <f>IFERROR(VLOOKUP(P$4,Ambulance!$AY$22:$BG$35,4,FALSE),"")</f>
        <v>4.3128176739972823E-2</v>
      </c>
      <c r="Q248" s="70" t="str">
        <f>IFERROR(VLOOKUP(Q$4,Ambulance!$AY$22:$BF$36,4,FALSE),"")</f>
        <v/>
      </c>
      <c r="Z248" s="130"/>
      <c r="AA248" s="130"/>
      <c r="AB248" s="130"/>
      <c r="AC248" s="130"/>
    </row>
    <row r="249" spans="2:29" x14ac:dyDescent="0.25">
      <c r="B249" s="132"/>
      <c r="C249" s="1" t="s">
        <v>281</v>
      </c>
      <c r="D249" s="110">
        <f>IFERROR(VLOOKUP(D$4,Ambulance!$AY$22:$BG$35,8,FALSE),"")</f>
        <v>4.19921875E-2</v>
      </c>
      <c r="E249" s="110">
        <f>IFERROR(VLOOKUP(E$4,Ambulance!$AY$22:$BG$35,8,FALSE),"")</f>
        <v>6.0200019419361102E-2</v>
      </c>
      <c r="F249" s="110">
        <f>IFERROR(VLOOKUP(F$4,Ambulance!$AY$22:$BG$35,8,FALSE),"")</f>
        <v>7.675826734979041E-2</v>
      </c>
      <c r="G249" s="110">
        <f>IFERROR(VLOOKUP(G$4,Ambulance!$AY$22:$BG$35,8,FALSE),"")</f>
        <v>6.2805169937769273E-2</v>
      </c>
      <c r="H249" s="110">
        <f>IFERROR(VLOOKUP(H$4,Ambulance!$AY$22:$BG$35,8,FALSE),"")</f>
        <v>9.569923098832242E-2</v>
      </c>
      <c r="I249" s="110">
        <f>IFERROR(VLOOKUP(I$4,Ambulance!$AY$22:$BG$35,8,FALSE),"")</f>
        <v>7.1666340317211669E-2</v>
      </c>
      <c r="J249" s="110">
        <f>IFERROR(VLOOKUP(J$4,Ambulance!$AY$22:$BG$35,8,FALSE),"")</f>
        <v>3.6508096148043852E-2</v>
      </c>
      <c r="K249" s="110">
        <f>IFERROR(VLOOKUP(K$4,Ambulance!$AY$22:$BG$35,8,FALSE),"")</f>
        <v>3.8742393509127789E-2</v>
      </c>
      <c r="L249" s="110">
        <f>IFERROR(VLOOKUP(L$4,Ambulance!$AY$22:$BG$35,8,FALSE),"")</f>
        <v>4.1063746578021115E-2</v>
      </c>
      <c r="M249" s="110">
        <f>IFERROR(VLOOKUP(M$4,Ambulance!$AY$22:$BG$35,8,FALSE),"")</f>
        <v>2.7559456976625499E-2</v>
      </c>
      <c r="N249" s="110">
        <f>IFERROR(VLOOKUP(N$4,Ambulance!$AY$22:$BG$35,8,FALSE),"")</f>
        <v>2.5289884046381446E-2</v>
      </c>
      <c r="O249" s="110">
        <f>IFERROR(VLOOKUP(O$4,Ambulance!$AY$22:$BG$35,8,FALSE),"")</f>
        <v>3.4169025475131419E-2</v>
      </c>
      <c r="P249" s="110">
        <f>IFERROR(VLOOKUP(P$4,Ambulance!$AY$22:$BG$35,8,FALSE),"")</f>
        <v>4.5500608025942441E-2</v>
      </c>
      <c r="Q249" s="70"/>
      <c r="Z249" s="130"/>
      <c r="AA249" s="130"/>
      <c r="AB249" s="130"/>
      <c r="AC249" s="130"/>
    </row>
    <row r="250" spans="2:29" x14ac:dyDescent="0.25">
      <c r="B250" s="132"/>
      <c r="C250" s="1" t="s">
        <v>282</v>
      </c>
      <c r="D250" s="110">
        <f>IFERROR(VLOOKUP(D$4,Ambulance!$AY$22:$BG$35,5,FALSE),"")</f>
        <v>4.4277257030093733E-2</v>
      </c>
      <c r="E250" s="110">
        <f>IFERROR(VLOOKUP(E$4,Ambulance!$AY$22:$BG$35,5,FALSE),"")</f>
        <v>6.500682975288713E-2</v>
      </c>
      <c r="F250" s="110">
        <f>IFERROR(VLOOKUP(F$4,Ambulance!$AY$22:$BG$35,5,FALSE),"")</f>
        <v>5.3096244715244961E-2</v>
      </c>
      <c r="G250" s="110">
        <f>IFERROR(VLOOKUP(G$4,Ambulance!$AY$22:$BG$35,5,FALSE),"")</f>
        <v>4.2663178873941207E-2</v>
      </c>
      <c r="H250" s="110">
        <f>IFERROR(VLOOKUP(H$4,Ambulance!$AY$22:$BG$35,5,FALSE),"")</f>
        <v>6.423181406580139E-2</v>
      </c>
      <c r="I250" s="110">
        <f>IFERROR(VLOOKUP(I$4,Ambulance!$AY$22:$BG$35,5,FALSE),"")</f>
        <v>4.7191011235955059E-2</v>
      </c>
      <c r="J250" s="110">
        <f>IFERROR(VLOOKUP(J$4,Ambulance!$AY$22:$BG$35,5,FALSE),"")</f>
        <v>3.5025017869907075E-2</v>
      </c>
      <c r="K250" s="110">
        <f>IFERROR(VLOOKUP(K$4,Ambulance!$AY$22:$BG$35,5,FALSE),"")</f>
        <v>2.6092715231788081E-2</v>
      </c>
      <c r="L250" s="110">
        <f>IFERROR(VLOOKUP(L$4,Ambulance!$AY$22:$BG$35,5,FALSE),"")</f>
        <v>2.8852875754687004E-2</v>
      </c>
      <c r="M250" s="110">
        <f>IFERROR(VLOOKUP(M$4,Ambulance!$AY$22:$BG$35,5,FALSE),"")</f>
        <v>2.4359316604378005E-2</v>
      </c>
      <c r="N250" s="110">
        <f>IFERROR(VLOOKUP(N$4,Ambulance!$AY$22:$BG$35,5,FALSE),"")</f>
        <v>2.7763226820324779E-2</v>
      </c>
      <c r="O250" s="110">
        <f>IFERROR(VLOOKUP(O$4,Ambulance!$AY$22:$BG$35,5,FALSE),"")</f>
        <v>2.6417315111488916E-2</v>
      </c>
      <c r="P250" s="110">
        <f>IFERROR(VLOOKUP(P$4,Ambulance!$AY$22:$BG$35,5,FALSE),"")</f>
        <v>2.3836398645508267E-2</v>
      </c>
      <c r="Q250" s="70"/>
      <c r="Z250" s="130"/>
      <c r="AA250" s="130"/>
      <c r="AB250" s="130"/>
      <c r="AC250" s="130"/>
    </row>
    <row r="251" spans="2:29" x14ac:dyDescent="0.25">
      <c r="B251" s="132"/>
      <c r="C251" s="1" t="s">
        <v>284</v>
      </c>
      <c r="D251" s="110">
        <f>IFERROR(VLOOKUP(D$4,Ambulance!$AY$22:$BG$35,9,FALSE),"")</f>
        <v>4.5255137381667053E-2</v>
      </c>
      <c r="E251" s="110">
        <f>IFERROR(VLOOKUP(E$4,Ambulance!$AY$22:$BG$35,9,FALSE),"")</f>
        <v>6.5801886792452829E-2</v>
      </c>
      <c r="F251" s="110">
        <f>IFERROR(VLOOKUP(F$4,Ambulance!$AY$22:$BG$35,9,FALSE),"")</f>
        <v>6.402439024390244E-2</v>
      </c>
      <c r="G251" s="110">
        <f>IFERROR(VLOOKUP(G$4,Ambulance!$AY$22:$BG$35,9,FALSE),"")</f>
        <v>3.586050037907506E-2</v>
      </c>
      <c r="H251" s="110">
        <f>IFERROR(VLOOKUP(H$4,Ambulance!$AY$22:$BG$35,9,FALSE),"")</f>
        <v>5.2687925365144911E-2</v>
      </c>
      <c r="I251" s="110">
        <f>IFERROR(VLOOKUP(I$4,Ambulance!$AY$22:$BG$35,9,FALSE),"")</f>
        <v>4.0666181582989736E-2</v>
      </c>
      <c r="J251" s="110">
        <f>IFERROR(VLOOKUP(J$4,Ambulance!$AY$22:$BG$35,9,FALSE),"")</f>
        <v>3.0783272485894457E-2</v>
      </c>
      <c r="K251" s="110">
        <f>IFERROR(VLOOKUP(K$4,Ambulance!$AY$22:$BG$35,9,FALSE),"")</f>
        <v>2.2174101342572541E-2</v>
      </c>
      <c r="L251" s="110">
        <f>IFERROR(VLOOKUP(L$4,Ambulance!$AY$22:$BG$35,9,FALSE),"")</f>
        <v>3.536443632741159E-2</v>
      </c>
      <c r="M251" s="110">
        <f>IFERROR(VLOOKUP(M$4,Ambulance!$AY$22:$BG$35,9,FALSE),"")</f>
        <v>2.8528149457207774E-2</v>
      </c>
      <c r="N251" s="110">
        <f>IFERROR(VLOOKUP(N$4,Ambulance!$AY$22:$BG$35,9,FALSE),"")</f>
        <v>1.6655450874831765E-2</v>
      </c>
      <c r="O251" s="110">
        <f>IFERROR(VLOOKUP(O$4,Ambulance!$AY$22:$BG$35,9,FALSE),"")</f>
        <v>2.0034915620583588E-2</v>
      </c>
      <c r="P251" s="110">
        <f>IFERROR(VLOOKUP(P$4,Ambulance!$AY$22:$BG$35,9,FALSE),"")</f>
        <v>2.4048815506101939E-2</v>
      </c>
      <c r="Q251" s="70" t="str">
        <f>IFERROR(VLOOKUP(Q$4,Ambulance!$AY$22:$BF$36,5,FALSE),"")</f>
        <v/>
      </c>
      <c r="Z251" s="130"/>
      <c r="AA251" s="130"/>
      <c r="AB251" s="130"/>
      <c r="AC251" s="130"/>
    </row>
    <row r="252" spans="2:29" x14ac:dyDescent="0.25">
      <c r="B252" s="132"/>
      <c r="C252" s="1" t="s">
        <v>242</v>
      </c>
      <c r="D252" s="110">
        <f>IFERROR(VLOOKUP(D$4,Ambulance!$AY$22:$BG$35,6,FALSE),"")</f>
        <v>1.1799208839176102E-2</v>
      </c>
      <c r="E252" s="110">
        <f>IFERROR(VLOOKUP(E$4,Ambulance!$AY$22:$BG$35,6,FALSE),"")</f>
        <v>9.8639455782312917E-3</v>
      </c>
      <c r="F252" s="110">
        <f>IFERROR(VLOOKUP(F$4,Ambulance!$AY$22:$BG$35,6,FALSE),"")</f>
        <v>1.5749601275917065E-2</v>
      </c>
      <c r="G252" s="110">
        <f>IFERROR(VLOOKUP(G$4,Ambulance!$AY$22:$BG$35,6,FALSE),"")</f>
        <v>1.5349194167306216E-2</v>
      </c>
      <c r="H252" s="110">
        <f>IFERROR(VLOOKUP(H$4,Ambulance!$AY$22:$BG$35,6,FALSE),"")</f>
        <v>2.6254414606516958E-2</v>
      </c>
      <c r="I252" s="110">
        <f>IFERROR(VLOOKUP(I$4,Ambulance!$AY$22:$BG$35,6,FALSE),"")</f>
        <v>2.0103348198485169E-2</v>
      </c>
      <c r="J252" s="110">
        <f>IFERROR(VLOOKUP(J$4,Ambulance!$AY$22:$BG$35,6,FALSE),"")</f>
        <v>1.30586186883343E-2</v>
      </c>
      <c r="K252" s="110">
        <f>IFERROR(VLOOKUP(K$4,Ambulance!$AY$22:$BG$35,6,FALSE),"")</f>
        <v>8.3601286173633441E-3</v>
      </c>
      <c r="L252" s="110">
        <f>IFERROR(VLOOKUP(L$4,Ambulance!$AY$22:$BG$35,6,FALSE),"")</f>
        <v>1.8975463960519915E-2</v>
      </c>
      <c r="M252" s="110">
        <f>IFERROR(VLOOKUP(M$4,Ambulance!$AY$22:$BG$35,6,FALSE),"")</f>
        <v>1.4031068795189347E-2</v>
      </c>
      <c r="N252" s="110">
        <f>IFERROR(VLOOKUP(N$4,Ambulance!$AY$22:$BG$35,6,FALSE),"")</f>
        <v>1.3378878451465983E-2</v>
      </c>
      <c r="O252" s="110">
        <f>IFERROR(VLOOKUP(O$4,Ambulance!$AY$22:$BG$35,6,FALSE),"")</f>
        <v>1.7875308821392238E-2</v>
      </c>
      <c r="P252" s="110">
        <f>IFERROR(VLOOKUP(P$4,Ambulance!$AY$22:$BG$35,6,FALSE),"")</f>
        <v>1.3705583756345178E-2</v>
      </c>
      <c r="Q252" s="70" t="str">
        <f>IFERROR(VLOOKUP(Q$4,Ambulance!$AY$22:$BF$36,6,FALSE),"")</f>
        <v/>
      </c>
      <c r="Z252" s="130"/>
      <c r="AA252" s="130"/>
      <c r="AB252" s="130"/>
      <c r="AC252" s="130"/>
    </row>
    <row r="253" spans="2:29" x14ac:dyDescent="0.25">
      <c r="B253" s="132"/>
      <c r="C253" s="1" t="s">
        <v>243</v>
      </c>
      <c r="D253" s="110">
        <f>IFERROR(VLOOKUP(D$4,Ambulance!$AY$22:$BG$35,7,FALSE),"")</f>
        <v>4.9591899989668356E-3</v>
      </c>
      <c r="E253" s="110">
        <f>IFERROR(VLOOKUP(E$4,Ambulance!$AY$22:$BG$35,7,FALSE),"")</f>
        <v>7.5662042875157629E-3</v>
      </c>
      <c r="F253" s="110">
        <f>IFERROR(VLOOKUP(F$4,Ambulance!$AY$22:$BG$35,7,FALSE),"")</f>
        <v>6.7269076305220884E-3</v>
      </c>
      <c r="G253" s="110">
        <f>IFERROR(VLOOKUP(G$4,Ambulance!$AY$22:$BG$35,7,FALSE),"")</f>
        <v>8.9397089397089402E-3</v>
      </c>
      <c r="H253" s="110">
        <f>IFERROR(VLOOKUP(H$4,Ambulance!$AY$22:$BG$35,7,FALSE),"")</f>
        <v>1.246705858503953E-2</v>
      </c>
      <c r="I253" s="110">
        <f>IFERROR(VLOOKUP(I$4,Ambulance!$AY$22:$BG$35,7,FALSE),"")</f>
        <v>5.1427946164788272E-3</v>
      </c>
      <c r="J253" s="110">
        <f>IFERROR(VLOOKUP(J$4,Ambulance!$AY$22:$BG$35,7,FALSE),"")</f>
        <v>6.6108417805200532E-3</v>
      </c>
      <c r="K253" s="110">
        <f>IFERROR(VLOOKUP(K$4,Ambulance!$AY$22:$BG$35,7,FALSE),"")</f>
        <v>3.8073908174692051E-3</v>
      </c>
      <c r="L253" s="110">
        <f>IFERROR(VLOOKUP(L$4,Ambulance!$AY$22:$BG$35,7,FALSE),"")</f>
        <v>9.4878706199460917E-3</v>
      </c>
      <c r="M253" s="110">
        <f>IFERROR(VLOOKUP(M$4,Ambulance!$AY$22:$BG$35,7,FALSE),"")</f>
        <v>4.4732721986132859E-3</v>
      </c>
      <c r="N253" s="110">
        <f>IFERROR(VLOOKUP(N$4,Ambulance!$AY$22:$BG$35,7,FALSE),"")</f>
        <v>3.5971223021582736E-3</v>
      </c>
      <c r="O253" s="110">
        <f>IFERROR(VLOOKUP(O$4,Ambulance!$AY$22:$BG$35,7,FALSE),"")</f>
        <v>6.7818858017939182E-3</v>
      </c>
      <c r="P253" s="110">
        <f>IFERROR(VLOOKUP(P$4,Ambulance!$AY$22:$BG$35,7,FALSE),"")</f>
        <v>1.1534276387377584E-2</v>
      </c>
      <c r="Q253" s="70" t="str">
        <f>IFERROR(VLOOKUP(Q$4,Ambulance!$AY$22:$BF$36,7,FALSE),"")</f>
        <v/>
      </c>
      <c r="Z253" s="130"/>
      <c r="AA253" s="130"/>
      <c r="AB253" s="130"/>
      <c r="AC253" s="130"/>
    </row>
    <row r="254" spans="2:29" ht="7.5" customHeight="1" x14ac:dyDescent="0.25">
      <c r="B254" s="132"/>
      <c r="Q254" s="65"/>
      <c r="Z254" s="130"/>
      <c r="AA254" s="130"/>
      <c r="AB254" s="130"/>
      <c r="AC254" s="130"/>
    </row>
    <row r="255" spans="2:29" x14ac:dyDescent="0.25">
      <c r="B255" s="132"/>
      <c r="C255" s="11" t="s">
        <v>23</v>
      </c>
      <c r="D255" s="66">
        <f>HLOOKUP(D4,Ambulance!BL142:BY143,2,FALSE)</f>
        <v>104</v>
      </c>
      <c r="E255" s="66">
        <f>HLOOKUP(E4,Ambulance!BM142:BZ143,2,FALSE)</f>
        <v>105</v>
      </c>
      <c r="F255" s="66">
        <f>HLOOKUP(F4,Ambulance!BN142:CA143,2,FALSE)</f>
        <v>105</v>
      </c>
      <c r="G255" s="66">
        <f>HLOOKUP(G4,Ambulance!BO142:CB143,2,FALSE)</f>
        <v>101</v>
      </c>
      <c r="H255" s="66">
        <f>HLOOKUP(H4,Ambulance!BP142:CC143,2,FALSE)</f>
        <v>102</v>
      </c>
      <c r="I255" s="66">
        <f>HLOOKUP(I4,Ambulance!BQ142:CD143,2,FALSE)</f>
        <v>105</v>
      </c>
      <c r="J255" s="66">
        <f>HLOOKUP(J4,Ambulance!BR142:CE143,2,FALSE)</f>
        <v>116</v>
      </c>
      <c r="K255" s="66">
        <f>HLOOKUP(K4,Ambulance!BS142:CF143,2,FALSE)</f>
        <v>107</v>
      </c>
      <c r="L255" s="66">
        <f>HLOOKUP(L4,Ambulance!BT142:CG143,2,FALSE)</f>
        <v>114</v>
      </c>
      <c r="M255" s="66">
        <f>HLOOKUP(M4,Ambulance!BU142:CH143,2,FALSE)</f>
        <v>104</v>
      </c>
      <c r="N255" s="66">
        <f>HLOOKUP(N4,Ambulance!BV142:CI143,2,FALSE)</f>
        <v>103</v>
      </c>
      <c r="O255" s="66">
        <f>HLOOKUP(O4,Ambulance!BW142:CJ143,2,FALSE)</f>
        <v>96</v>
      </c>
      <c r="P255" s="66">
        <f>HLOOKUP(P4,Ambulance!BX142:CK143,2,FALSE)</f>
        <v>106</v>
      </c>
      <c r="Q255" s="98"/>
      <c r="Z255" s="130"/>
      <c r="AA255" s="130"/>
      <c r="AB255" s="130"/>
      <c r="AC255" s="130"/>
    </row>
    <row r="259" spans="5:16" x14ac:dyDescent="0.25">
      <c r="E259" s="3"/>
      <c r="P259" s="3"/>
    </row>
  </sheetData>
  <sheetProtection password="E879" sheet="1" objects="1" scenarios="1" selectLockedCells="1" selectUnlockedCells="1"/>
  <mergeCells count="58">
    <mergeCell ref="B80:B113"/>
    <mergeCell ref="B21:B61"/>
    <mergeCell ref="B147:B169"/>
    <mergeCell ref="B171:B193"/>
    <mergeCell ref="B195:B217"/>
    <mergeCell ref="B115:B145"/>
    <mergeCell ref="B63:B78"/>
    <mergeCell ref="N61:P61"/>
    <mergeCell ref="N129:P129"/>
    <mergeCell ref="N145:P145"/>
    <mergeCell ref="K61:M61"/>
    <mergeCell ref="Z4:AC4"/>
    <mergeCell ref="K17:M17"/>
    <mergeCell ref="K19:M19"/>
    <mergeCell ref="S4:X4"/>
    <mergeCell ref="N17:P17"/>
    <mergeCell ref="N19:P19"/>
    <mergeCell ref="Z22:AC25"/>
    <mergeCell ref="Z26:AC57"/>
    <mergeCell ref="N33:P33"/>
    <mergeCell ref="N47:P47"/>
    <mergeCell ref="B6:B19"/>
    <mergeCell ref="D17:F17"/>
    <mergeCell ref="D19:F19"/>
    <mergeCell ref="G17:J17"/>
    <mergeCell ref="G19:J19"/>
    <mergeCell ref="D129:F129"/>
    <mergeCell ref="G129:J129"/>
    <mergeCell ref="K129:M129"/>
    <mergeCell ref="D33:F33"/>
    <mergeCell ref="G33:J33"/>
    <mergeCell ref="K33:M33"/>
    <mergeCell ref="D47:F47"/>
    <mergeCell ref="G47:J47"/>
    <mergeCell ref="K47:M47"/>
    <mergeCell ref="D61:F61"/>
    <mergeCell ref="G61:J61"/>
    <mergeCell ref="Z219:AC224"/>
    <mergeCell ref="D145:F145"/>
    <mergeCell ref="G145:J145"/>
    <mergeCell ref="K145:M145"/>
    <mergeCell ref="Z151:AC167"/>
    <mergeCell ref="Z227:AC255"/>
    <mergeCell ref="C2:AC2"/>
    <mergeCell ref="B219:B255"/>
    <mergeCell ref="Z6:AC9"/>
    <mergeCell ref="Z10:AC19"/>
    <mergeCell ref="Z63:AC66"/>
    <mergeCell ref="Z67:AC78"/>
    <mergeCell ref="Z80:AC84"/>
    <mergeCell ref="Z85:AC100"/>
    <mergeCell ref="Z115:AC118"/>
    <mergeCell ref="Z120:AC145"/>
    <mergeCell ref="Z147:AC150"/>
    <mergeCell ref="Z171:AC174"/>
    <mergeCell ref="Z175:AC191"/>
    <mergeCell ref="Z195:AC198"/>
    <mergeCell ref="Z199:AC215"/>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43"/>
  <sheetViews>
    <sheetView topLeftCell="BJ57" workbookViewId="0">
      <selection activeCell="BT144" sqref="BT144"/>
    </sheetView>
  </sheetViews>
  <sheetFormatPr defaultRowHeight="15" x14ac:dyDescent="0.25"/>
  <cols>
    <col min="1" max="1" width="11.28515625" customWidth="1"/>
    <col min="2" max="2" width="18.85546875" customWidth="1"/>
    <col min="3" max="3" width="16.28515625" customWidth="1"/>
    <col min="4" max="4" width="7.5703125" customWidth="1"/>
    <col min="5" max="5" width="9.28515625" customWidth="1"/>
    <col min="6" max="6" width="23.140625" customWidth="1"/>
    <col min="7" max="7" width="21.7109375" customWidth="1"/>
    <col min="8" max="8" width="20.140625" customWidth="1"/>
    <col min="9" max="9" width="21.42578125" customWidth="1"/>
    <col min="10" max="22" width="11.28515625" customWidth="1"/>
    <col min="24" max="24" width="13.140625" bestFit="1" customWidth="1"/>
    <col min="25" max="25" width="18.85546875" bestFit="1" customWidth="1"/>
    <col min="26" max="26" width="10.42578125" bestFit="1" customWidth="1"/>
    <col min="27" max="27" width="12.140625" bestFit="1" customWidth="1"/>
    <col min="28" max="28" width="18.85546875" customWidth="1"/>
    <col min="29" max="29" width="10.42578125" bestFit="1" customWidth="1"/>
    <col min="30" max="30" width="12.140625" bestFit="1" customWidth="1"/>
    <col min="31" max="31" width="18.85546875" bestFit="1" customWidth="1"/>
    <col min="32" max="32" width="10.42578125" bestFit="1" customWidth="1"/>
    <col min="33" max="33" width="12.140625" bestFit="1" customWidth="1"/>
    <col min="34" max="34" width="23.140625" bestFit="1" customWidth="1"/>
    <col min="35" max="35" width="10.42578125" bestFit="1" customWidth="1"/>
    <col min="36" max="36" width="12.140625" bestFit="1" customWidth="1"/>
    <col min="37" max="37" width="21.7109375" bestFit="1" customWidth="1"/>
    <col min="38" max="38" width="10.42578125" bestFit="1" customWidth="1"/>
    <col min="39" max="39" width="12.140625" bestFit="1" customWidth="1"/>
    <col min="40" max="40" width="20.140625" customWidth="1"/>
    <col min="41" max="41" width="10.42578125" customWidth="1"/>
    <col min="42" max="42" width="12.140625" customWidth="1"/>
    <col min="43" max="43" width="21.42578125" customWidth="1"/>
    <col min="44" max="44" width="10.42578125" customWidth="1"/>
    <col min="45" max="45" width="12.140625" customWidth="1"/>
    <col min="46" max="46" width="23.85546875" customWidth="1"/>
    <col min="47" max="47" width="15.42578125" customWidth="1"/>
    <col min="48" max="49" width="17.28515625" customWidth="1"/>
    <col min="63" max="63" width="78.140625" bestFit="1" customWidth="1"/>
    <col min="64" max="64" width="16.28515625" bestFit="1" customWidth="1"/>
    <col min="65" max="68" width="8.7109375" customWidth="1"/>
    <col min="69" max="76" width="7.7109375" customWidth="1"/>
  </cols>
  <sheetData>
    <row r="1" spans="1:76" s="17" customFormat="1" x14ac:dyDescent="0.25">
      <c r="A1" s="38"/>
      <c r="B1" s="44" t="s">
        <v>323</v>
      </c>
      <c r="C1" s="51"/>
      <c r="D1" s="51"/>
      <c r="E1" s="51"/>
      <c r="F1" s="51"/>
      <c r="G1" s="51"/>
      <c r="H1" s="51"/>
      <c r="I1" s="122"/>
      <c r="J1" s="122"/>
      <c r="K1" s="122"/>
      <c r="L1" s="55"/>
      <c r="M1" s="55"/>
      <c r="N1" s="55"/>
      <c r="O1" s="55"/>
      <c r="P1" s="55"/>
      <c r="Q1" s="55"/>
      <c r="R1" s="55"/>
      <c r="S1" s="55"/>
      <c r="T1" s="55"/>
      <c r="U1" s="38"/>
      <c r="V1" s="38"/>
      <c r="W1" s="48"/>
      <c r="X1" s="44" t="s">
        <v>324</v>
      </c>
      <c r="Y1" s="51"/>
      <c r="Z1" s="51"/>
      <c r="AA1" s="51"/>
      <c r="AB1" s="51"/>
      <c r="AC1" s="51"/>
      <c r="AD1" s="51"/>
      <c r="AE1" s="51"/>
      <c r="AF1" s="51"/>
      <c r="AG1" s="51"/>
      <c r="AH1" s="51"/>
      <c r="AI1" s="51"/>
      <c r="AJ1" s="51"/>
      <c r="AK1" s="51"/>
      <c r="AL1" s="51"/>
      <c r="AM1" s="51"/>
      <c r="AN1" s="51"/>
      <c r="AO1" s="51"/>
      <c r="AP1" s="51"/>
      <c r="AQ1" s="122"/>
      <c r="AR1" s="122"/>
      <c r="AS1" s="122"/>
      <c r="AT1" s="122"/>
      <c r="AU1" s="122"/>
      <c r="AV1" s="122"/>
      <c r="AW1" s="122"/>
      <c r="AX1" s="51"/>
      <c r="AY1" s="51"/>
      <c r="AZ1" s="51"/>
      <c r="BA1" s="51"/>
      <c r="BB1" s="51"/>
      <c r="BC1" s="51"/>
      <c r="BD1" s="51"/>
      <c r="BE1" s="51"/>
      <c r="BF1" s="51"/>
      <c r="BG1" s="122"/>
      <c r="BH1" s="122"/>
    </row>
    <row r="3" spans="1:76" x14ac:dyDescent="0.25">
      <c r="B3" s="18" t="s">
        <v>41</v>
      </c>
      <c r="C3" t="s" vm="1">
        <v>287</v>
      </c>
      <c r="N3" t="s">
        <v>42</v>
      </c>
      <c r="O3" t="s">
        <v>1</v>
      </c>
      <c r="P3" t="s">
        <v>241</v>
      </c>
      <c r="Q3" t="s">
        <v>282</v>
      </c>
      <c r="R3" t="s">
        <v>238</v>
      </c>
      <c r="S3" t="s">
        <v>239</v>
      </c>
      <c r="T3" t="s">
        <v>285</v>
      </c>
      <c r="U3" t="s">
        <v>284</v>
      </c>
      <c r="X3" s="18" t="s">
        <v>41</v>
      </c>
      <c r="Y3" t="s" vm="1">
        <v>287</v>
      </c>
      <c r="BK3" s="18" t="s">
        <v>41</v>
      </c>
      <c r="BL3" t="s" vm="1">
        <v>287</v>
      </c>
    </row>
    <row r="4" spans="1:76" x14ac:dyDescent="0.25">
      <c r="M4" s="21" t="s">
        <v>44</v>
      </c>
      <c r="N4" s="25">
        <f>(VLOOKUP($M4,$B$7:$J$1048576,9, FALSE))</f>
        <v>100129</v>
      </c>
      <c r="O4" s="25">
        <f>(VLOOKUP($M4,$B$7:$J$1048576,3, FALSE))</f>
        <v>15345</v>
      </c>
      <c r="P4" s="25">
        <f>(VLOOKUP($M4,$B$7:$J$1048576,4, FALSE))</f>
        <v>20994</v>
      </c>
      <c r="Q4" s="25">
        <f>(VLOOKUP($M4,$B$7:$J$1048576,5, FALSE))</f>
        <v>16216</v>
      </c>
      <c r="R4" s="25">
        <f>(VLOOKUP($M4,$B$7:$J$1048576,7, FALSE))</f>
        <v>14662</v>
      </c>
      <c r="S4" s="25">
        <f>(VLOOKUP($M4,$B$7:$J$1048576,8, FALSE))</f>
        <v>9679</v>
      </c>
      <c r="T4" s="25">
        <f>(VLOOKUP($M4,$B$7:$J$1048576,2, FALSE))</f>
        <v>10240</v>
      </c>
      <c r="U4" s="25">
        <f>(VLOOKUP($M4,$B$7:$J$1048576,6, FALSE))</f>
        <v>12993</v>
      </c>
      <c r="W4" s="28"/>
      <c r="AN4" s="28"/>
      <c r="AO4" s="28"/>
      <c r="AP4" s="28"/>
      <c r="AQ4" s="28"/>
      <c r="AR4" s="28"/>
      <c r="AS4" s="28"/>
      <c r="AT4" s="28"/>
      <c r="AU4" s="28"/>
      <c r="AV4" s="28"/>
      <c r="AW4" s="28"/>
      <c r="AX4" s="28"/>
      <c r="AY4" s="28"/>
      <c r="AZ4" s="28"/>
      <c r="BA4" s="28"/>
      <c r="BB4" s="28"/>
      <c r="BC4" s="28"/>
      <c r="BD4" s="28"/>
      <c r="BE4" s="28"/>
      <c r="BF4" s="28"/>
      <c r="BG4" s="28"/>
      <c r="BH4" s="28"/>
    </row>
    <row r="5" spans="1:76" x14ac:dyDescent="0.25">
      <c r="B5" s="18" t="s">
        <v>188</v>
      </c>
      <c r="C5" s="18" t="s">
        <v>43</v>
      </c>
      <c r="M5" s="21" t="s">
        <v>45</v>
      </c>
      <c r="N5" s="25">
        <f t="shared" ref="N5:N16" si="0">(VLOOKUP($M5,$B$7:$J$1048576,9, FALSE))</f>
        <v>99958</v>
      </c>
      <c r="O5" s="25">
        <f t="shared" ref="O5:O15" si="1">(VLOOKUP($M5,$B$7:$J$1048576,3, FALSE))</f>
        <v>15441</v>
      </c>
      <c r="P5" s="25">
        <f t="shared" ref="P5:P16" si="2">(VLOOKUP($M5,$B$7:$J$1048576,4, FALSE))</f>
        <v>21176</v>
      </c>
      <c r="Q5" s="25">
        <f t="shared" ref="Q5:Q16" si="3">(VLOOKUP($M5,$B$7:$J$1048576,5, FALSE))</f>
        <v>16106</v>
      </c>
      <c r="R5" s="25">
        <f t="shared" ref="R5:R16" si="4">(VLOOKUP($M5,$B$7:$J$1048576,7, FALSE))</f>
        <v>14700</v>
      </c>
      <c r="S5" s="25">
        <f t="shared" ref="S5:S16" si="5">(VLOOKUP($M5,$B$7:$J$1048576,8, FALSE))</f>
        <v>9516</v>
      </c>
      <c r="T5" s="25">
        <f t="shared" ref="T5:T16" si="6">(VLOOKUP($M5,$B$7:$J$1048576,2, FALSE))</f>
        <v>10299</v>
      </c>
      <c r="U5" s="25">
        <f t="shared" ref="U5:U16" si="7">(VLOOKUP($M5,$B$7:$J$1048576,6, FALSE))</f>
        <v>12720</v>
      </c>
      <c r="W5" s="28"/>
      <c r="Y5" s="18" t="s">
        <v>43</v>
      </c>
      <c r="AX5" s="28"/>
      <c r="AZ5" t="s">
        <v>42</v>
      </c>
      <c r="BA5" t="s">
        <v>1</v>
      </c>
      <c r="BB5" t="s">
        <v>241</v>
      </c>
      <c r="BC5" t="s">
        <v>282</v>
      </c>
      <c r="BD5" t="s">
        <v>238</v>
      </c>
      <c r="BE5" t="s">
        <v>239</v>
      </c>
      <c r="BF5" t="s">
        <v>285</v>
      </c>
      <c r="BG5" t="s">
        <v>284</v>
      </c>
      <c r="BK5" s="18" t="s">
        <v>202</v>
      </c>
      <c r="BL5" s="18" t="s">
        <v>43</v>
      </c>
    </row>
    <row r="6" spans="1:76" x14ac:dyDescent="0.25">
      <c r="B6" s="18" t="s">
        <v>38</v>
      </c>
      <c r="C6" t="s">
        <v>329</v>
      </c>
      <c r="D6" t="s">
        <v>1</v>
      </c>
      <c r="E6" t="s">
        <v>241</v>
      </c>
      <c r="F6" t="s">
        <v>286</v>
      </c>
      <c r="G6" t="s">
        <v>330</v>
      </c>
      <c r="H6" t="s">
        <v>237</v>
      </c>
      <c r="I6" t="s">
        <v>331</v>
      </c>
      <c r="J6" t="s">
        <v>40</v>
      </c>
      <c r="M6" s="21" t="s">
        <v>46</v>
      </c>
      <c r="N6" s="25">
        <f t="shared" si="0"/>
        <v>100884</v>
      </c>
      <c r="O6" s="25">
        <f t="shared" si="1"/>
        <v>14845</v>
      </c>
      <c r="P6" s="25">
        <f t="shared" si="2"/>
        <v>21092</v>
      </c>
      <c r="Q6" s="25">
        <f t="shared" si="3"/>
        <v>16084</v>
      </c>
      <c r="R6" s="25">
        <f t="shared" si="4"/>
        <v>15048</v>
      </c>
      <c r="S6" s="25">
        <f t="shared" si="5"/>
        <v>9960</v>
      </c>
      <c r="T6" s="25">
        <f t="shared" si="6"/>
        <v>10735</v>
      </c>
      <c r="U6" s="25">
        <f t="shared" si="7"/>
        <v>13120</v>
      </c>
      <c r="W6" s="28"/>
      <c r="Y6" t="s">
        <v>329</v>
      </c>
      <c r="AB6" t="s">
        <v>1</v>
      </c>
      <c r="AE6" t="s">
        <v>241</v>
      </c>
      <c r="AH6" t="s">
        <v>286</v>
      </c>
      <c r="AK6" t="s">
        <v>330</v>
      </c>
      <c r="AN6" t="s">
        <v>237</v>
      </c>
      <c r="AQ6" t="s">
        <v>331</v>
      </c>
      <c r="AT6" t="s">
        <v>193</v>
      </c>
      <c r="AU6" t="s">
        <v>189</v>
      </c>
      <c r="AV6" t="s">
        <v>191</v>
      </c>
      <c r="AX6" s="28"/>
      <c r="AY6" s="21" t="s">
        <v>44</v>
      </c>
      <c r="AZ6" s="28">
        <f>(VLOOKUP($AY6,$X$8:$AV$1048576,24,FALSE)+VLOOKUP($AY6,$X$8:$AV$1048576,25,FALSE))/VLOOKUP($AY6,$X$8:$AV$1048576,23,FALSE)</f>
        <v>0.14580191552896762</v>
      </c>
      <c r="BA6" s="28">
        <f>(VLOOKUP($AY6,$X$8:$AV$1048576,6,FALSE)+VLOOKUP($AY6,$X$8:$AV$1048576,7,FALSE))/VLOOKUP($AY6,$X$8:$AV$1048576,5,FALSE)</f>
        <v>0.1488432714239166</v>
      </c>
      <c r="BB6" s="28">
        <f>(VLOOKUP($AY6,$X$8:$AV$1048576,9,FALSE)+VLOOKUP($AY6,$X$8:$AV$1048576,10,FALSE))/VLOOKUP($AY6,$X$8:$AV$1048576,8,FALSE)</f>
        <v>0.19453177098218538</v>
      </c>
      <c r="BC6" s="28">
        <f>(VLOOKUP($AY6,$X$8:$AV$1048576,12,FALSE)+VLOOKUP($AY6,$X$8:$AV$1048576,13,FALSE))/VLOOKUP($AY6,$X$8:$AV$1048576,11,FALSE)</f>
        <v>0.14652195362604833</v>
      </c>
      <c r="BD6" s="28">
        <f>(VLOOKUP($AY6,$X$8:$AV$1048576,18,FALSE)+VLOOKUP($AY6,$X$8:$AV$1048576,19,FALSE))/VLOOKUP($AY6,$X$8:$AV$1048576,17, FALSE)</f>
        <v>8.7505115263947622E-2</v>
      </c>
      <c r="BE6" s="28">
        <f>(VLOOKUP($AY6,$X$8:$AV$1048576,21,FALSE)+VLOOKUP($AY6,$X$8:$AV$1048576,22, FALSE))/VLOOKUP($AY6,$X$8:$AV$1048576,20,FALSE)</f>
        <v>3.5127595826015087E-2</v>
      </c>
      <c r="BF6" s="28">
        <f>(VLOOKUP($AY6,$X$8:$AV$1048576,3,FALSE)+VLOOKUP($AY6,$X$8:$AV$1048576,4,FALSE))/VLOOKUP($AY6,$X$8:$AV$1048576,2,FALSE)</f>
        <v>0.16982421875000001</v>
      </c>
      <c r="BG6" s="28">
        <f>(VLOOKUP($AY6,$X$8:$AV$1048576,15,FALSE)+VLOOKUP($AY6,$X$8:$AV$1048576,16,FALSE))/VLOOKUP($AY6,$X$8:$AV$1048576,14,FALSE)</f>
        <v>0.19187254675594551</v>
      </c>
      <c r="BH6" s="28"/>
      <c r="BK6" s="18" t="s">
        <v>38</v>
      </c>
      <c r="BL6" t="s">
        <v>44</v>
      </c>
      <c r="BM6" t="s">
        <v>53</v>
      </c>
      <c r="BN6" t="s">
        <v>54</v>
      </c>
      <c r="BO6" t="s">
        <v>55</v>
      </c>
      <c r="BP6" t="s">
        <v>56</v>
      </c>
      <c r="BQ6" t="s">
        <v>45</v>
      </c>
      <c r="BR6" t="s">
        <v>46</v>
      </c>
      <c r="BS6" t="s">
        <v>47</v>
      </c>
      <c r="BT6" t="s">
        <v>48</v>
      </c>
      <c r="BU6" t="s">
        <v>49</v>
      </c>
      <c r="BV6" t="s">
        <v>50</v>
      </c>
      <c r="BW6" t="s">
        <v>51</v>
      </c>
      <c r="BX6" t="s">
        <v>52</v>
      </c>
    </row>
    <row r="7" spans="1:76" x14ac:dyDescent="0.25">
      <c r="A7" s="2"/>
      <c r="B7" s="19" t="s">
        <v>44</v>
      </c>
      <c r="C7" s="2">
        <v>10240</v>
      </c>
      <c r="D7" s="2">
        <v>15345</v>
      </c>
      <c r="E7" s="2">
        <v>20994</v>
      </c>
      <c r="F7" s="2">
        <v>16216</v>
      </c>
      <c r="G7" s="2">
        <v>12993</v>
      </c>
      <c r="H7" s="2">
        <v>14662</v>
      </c>
      <c r="I7" s="2">
        <v>9679</v>
      </c>
      <c r="J7" s="2">
        <v>100129</v>
      </c>
      <c r="K7" s="2"/>
      <c r="L7" s="2"/>
      <c r="M7" s="21" t="s">
        <v>47</v>
      </c>
      <c r="N7" s="25">
        <f t="shared" si="0"/>
        <v>98558</v>
      </c>
      <c r="O7" s="25">
        <f t="shared" si="1"/>
        <v>14329</v>
      </c>
      <c r="P7" s="25">
        <f t="shared" si="2"/>
        <v>20585</v>
      </c>
      <c r="Q7" s="25">
        <f t="shared" si="3"/>
        <v>16056</v>
      </c>
      <c r="R7" s="25">
        <f t="shared" si="4"/>
        <v>14333</v>
      </c>
      <c r="S7" s="25">
        <f t="shared" si="5"/>
        <v>9620</v>
      </c>
      <c r="T7" s="25">
        <f t="shared" si="6"/>
        <v>10445</v>
      </c>
      <c r="U7" s="25">
        <f t="shared" si="7"/>
        <v>13190</v>
      </c>
      <c r="V7" s="2"/>
      <c r="W7" s="28"/>
      <c r="X7" s="18" t="s">
        <v>38</v>
      </c>
      <c r="Y7" t="s">
        <v>188</v>
      </c>
      <c r="Z7" t="s">
        <v>190</v>
      </c>
      <c r="AA7" t="s">
        <v>192</v>
      </c>
      <c r="AB7" t="s">
        <v>188</v>
      </c>
      <c r="AC7" t="s">
        <v>190</v>
      </c>
      <c r="AD7" t="s">
        <v>192</v>
      </c>
      <c r="AE7" t="s">
        <v>188</v>
      </c>
      <c r="AF7" t="s">
        <v>190</v>
      </c>
      <c r="AG7" t="s">
        <v>192</v>
      </c>
      <c r="AH7" t="s">
        <v>188</v>
      </c>
      <c r="AI7" t="s">
        <v>190</v>
      </c>
      <c r="AJ7" t="s">
        <v>192</v>
      </c>
      <c r="AK7" t="s">
        <v>188</v>
      </c>
      <c r="AL7" t="s">
        <v>190</v>
      </c>
      <c r="AM7" t="s">
        <v>192</v>
      </c>
      <c r="AN7" t="s">
        <v>188</v>
      </c>
      <c r="AO7" t="s">
        <v>190</v>
      </c>
      <c r="AP7" t="s">
        <v>192</v>
      </c>
      <c r="AQ7" t="s">
        <v>188</v>
      </c>
      <c r="AR7" t="s">
        <v>190</v>
      </c>
      <c r="AS7" t="s">
        <v>192</v>
      </c>
      <c r="AX7" s="28"/>
      <c r="AY7" s="21" t="s">
        <v>45</v>
      </c>
      <c r="AZ7" s="28">
        <f t="shared" ref="AZ7:AZ18" si="8">(VLOOKUP($AY7,$X$8:$AV$1048576,24,FALSE)+VLOOKUP($AY7,$X$8:$AV$1048576,25,FALSE))/VLOOKUP($AY7,$X$8:$AV$1048576,23,FALSE)</f>
        <v>0.16260829548410333</v>
      </c>
      <c r="BA7" s="28">
        <f t="shared" ref="BA7:BA18" si="9">(VLOOKUP($AY7,$X$8:$AV$1048576,6,FALSE)+VLOOKUP($AY7,$X$8:$AV$1048576,7,FALSE))/VLOOKUP($AY7,$X$8:$AV$1048576,5,FALSE)</f>
        <v>0.14746454245191373</v>
      </c>
      <c r="BB7" s="28">
        <f t="shared" ref="BB7:BB18" si="10">(VLOOKUP($AY7,$X$8:$AV$1048576,9,FALSE)+VLOOKUP($AY7,$X$8:$AV$1048576,10,FALSE))/VLOOKUP($AY7,$X$8:$AV$1048576,8,FALSE)</f>
        <v>0.22681337363052512</v>
      </c>
      <c r="BC7" s="28">
        <f t="shared" ref="BC7:BC18" si="11">(VLOOKUP($AY7,$X$8:$AV$1048576,12,FALSE)+VLOOKUP($AY7,$X$8:$AV$1048576,13,FALSE))/VLOOKUP($AY7,$X$8:$AV$1048576,11,FALSE)</f>
        <v>0.16894325096237428</v>
      </c>
      <c r="BD7" s="28">
        <f t="shared" ref="BD7:BD18" si="12">(VLOOKUP($AY7,$X$8:$AV$1048576,18,FALSE)+VLOOKUP($AY7,$X$8:$AV$1048576,19,FALSE))/VLOOKUP($AY7,$X$8:$AV$1048576,17, FALSE)</f>
        <v>8.4693877551020411E-2</v>
      </c>
      <c r="BE7" s="28">
        <f t="shared" ref="BE7:BE18" si="13">(VLOOKUP($AY7,$X$8:$AV$1048576,21,FALSE)+VLOOKUP($AY7,$X$8:$AV$1048576,22, FALSE))/VLOOKUP($AY7,$X$8:$AV$1048576,20,FALSE)</f>
        <v>4.8970155527532575E-2</v>
      </c>
      <c r="BF7" s="28">
        <f t="shared" ref="BF7:BF18" si="14">(VLOOKUP($AY7,$X$8:$AV$1048576,3,FALSE)+VLOOKUP($AY7,$X$8:$AV$1048576,4,FALSE))/VLOOKUP($AY7,$X$8:$AV$1048576,2,FALSE)</f>
        <v>0.20497135644237305</v>
      </c>
      <c r="BG7" s="28">
        <f t="shared" ref="BG7:BG18" si="15">(VLOOKUP($AY7,$X$8:$AV$1048576,15,FALSE)+VLOOKUP($AY7,$X$8:$AV$1048576,16,FALSE))/VLOOKUP($AY7,$X$8:$AV$1048576,14,FALSE)</f>
        <v>0.20683962264150943</v>
      </c>
      <c r="BH7" s="28"/>
      <c r="BK7" s="19" t="s">
        <v>65</v>
      </c>
      <c r="BL7" s="2">
        <v>2</v>
      </c>
      <c r="BM7" s="2">
        <v>0</v>
      </c>
      <c r="BN7" s="2">
        <v>0</v>
      </c>
      <c r="BO7" s="2">
        <v>0</v>
      </c>
      <c r="BP7" s="2">
        <v>0</v>
      </c>
      <c r="BQ7" s="2">
        <v>14</v>
      </c>
      <c r="BR7" s="2">
        <v>6</v>
      </c>
      <c r="BS7" s="2">
        <v>8</v>
      </c>
      <c r="BT7" s="2">
        <v>2</v>
      </c>
      <c r="BU7" s="2">
        <v>1</v>
      </c>
      <c r="BV7" s="2">
        <v>0</v>
      </c>
      <c r="BW7" s="2">
        <v>3</v>
      </c>
      <c r="BX7" s="2">
        <v>1</v>
      </c>
    </row>
    <row r="8" spans="1:76" x14ac:dyDescent="0.25">
      <c r="A8" s="2"/>
      <c r="B8" s="19" t="s">
        <v>53</v>
      </c>
      <c r="C8" s="2">
        <v>9797</v>
      </c>
      <c r="D8" s="2">
        <v>14659</v>
      </c>
      <c r="E8" s="2">
        <v>19704</v>
      </c>
      <c r="F8" s="2">
        <v>14984</v>
      </c>
      <c r="G8" s="2">
        <v>11883</v>
      </c>
      <c r="H8" s="2">
        <v>13969</v>
      </c>
      <c r="I8" s="2">
        <v>8942</v>
      </c>
      <c r="J8" s="2">
        <v>93938</v>
      </c>
      <c r="K8" s="2"/>
      <c r="L8" s="2"/>
      <c r="M8" s="21" t="s">
        <v>48</v>
      </c>
      <c r="N8" s="25">
        <f t="shared" si="0"/>
        <v>100569</v>
      </c>
      <c r="O8" s="25">
        <f t="shared" si="1"/>
        <v>15218</v>
      </c>
      <c r="P8" s="25">
        <f t="shared" si="2"/>
        <v>20303</v>
      </c>
      <c r="Q8" s="25">
        <f t="shared" si="3"/>
        <v>16565</v>
      </c>
      <c r="R8" s="25">
        <f t="shared" si="4"/>
        <v>15007</v>
      </c>
      <c r="S8" s="25">
        <f t="shared" si="5"/>
        <v>9866</v>
      </c>
      <c r="T8" s="25">
        <f t="shared" si="6"/>
        <v>10533</v>
      </c>
      <c r="U8" s="25">
        <f t="shared" si="7"/>
        <v>13077</v>
      </c>
      <c r="V8" s="2"/>
      <c r="W8" s="28"/>
      <c r="X8" s="19" t="s">
        <v>44</v>
      </c>
      <c r="Y8" s="2">
        <v>10240</v>
      </c>
      <c r="Z8" s="2">
        <v>1309</v>
      </c>
      <c r="AA8" s="2">
        <v>430</v>
      </c>
      <c r="AB8" s="2">
        <v>15345</v>
      </c>
      <c r="AC8" s="2">
        <v>1997</v>
      </c>
      <c r="AD8" s="2">
        <v>287</v>
      </c>
      <c r="AE8" s="2">
        <v>20994</v>
      </c>
      <c r="AF8" s="2">
        <v>3149</v>
      </c>
      <c r="AG8" s="2">
        <v>935</v>
      </c>
      <c r="AH8" s="2">
        <v>16216</v>
      </c>
      <c r="AI8" s="2">
        <v>1658</v>
      </c>
      <c r="AJ8" s="2">
        <v>718</v>
      </c>
      <c r="AK8" s="2">
        <v>12993</v>
      </c>
      <c r="AL8" s="2">
        <v>1905</v>
      </c>
      <c r="AM8" s="2">
        <v>588</v>
      </c>
      <c r="AN8" s="2">
        <v>14662</v>
      </c>
      <c r="AO8" s="2">
        <v>1110</v>
      </c>
      <c r="AP8" s="2">
        <v>173</v>
      </c>
      <c r="AQ8" s="2">
        <v>9679</v>
      </c>
      <c r="AR8" s="2">
        <v>292</v>
      </c>
      <c r="AS8" s="2">
        <v>48</v>
      </c>
      <c r="AT8" s="2">
        <v>100129</v>
      </c>
      <c r="AU8" s="2">
        <v>11420</v>
      </c>
      <c r="AV8" s="2">
        <v>3179</v>
      </c>
      <c r="AW8" s="2"/>
      <c r="AX8" s="28"/>
      <c r="AY8" s="21" t="s">
        <v>46</v>
      </c>
      <c r="AZ8" s="28">
        <f t="shared" si="8"/>
        <v>0.17464612822647793</v>
      </c>
      <c r="BA8" s="28">
        <f t="shared" si="9"/>
        <v>0.16194004715392388</v>
      </c>
      <c r="BB8" s="28">
        <f t="shared" si="10"/>
        <v>0.2553574815095771</v>
      </c>
      <c r="BC8" s="28">
        <f t="shared" si="11"/>
        <v>0.15238746580452625</v>
      </c>
      <c r="BD8" s="28">
        <f t="shared" si="12"/>
        <v>0.118886230728336</v>
      </c>
      <c r="BE8" s="28">
        <f t="shared" si="13"/>
        <v>4.9096385542168677E-2</v>
      </c>
      <c r="BF8" s="28">
        <f t="shared" si="14"/>
        <v>0.21397298556124825</v>
      </c>
      <c r="BG8" s="28">
        <f t="shared" si="15"/>
        <v>0.21364329268292684</v>
      </c>
      <c r="BH8" s="28"/>
      <c r="BK8" s="19" t="s">
        <v>66</v>
      </c>
      <c r="BL8" s="2">
        <v>0</v>
      </c>
      <c r="BM8" s="2">
        <v>0</v>
      </c>
      <c r="BN8" s="2">
        <v>0</v>
      </c>
      <c r="BO8" s="2">
        <v>0</v>
      </c>
      <c r="BP8" s="2">
        <v>0</v>
      </c>
      <c r="BQ8" s="2">
        <v>0</v>
      </c>
      <c r="BR8" s="2">
        <v>0</v>
      </c>
      <c r="BS8" s="2">
        <v>0</v>
      </c>
      <c r="BT8" s="2">
        <v>0</v>
      </c>
      <c r="BU8" s="2">
        <v>0</v>
      </c>
      <c r="BV8" s="2">
        <v>0</v>
      </c>
      <c r="BW8" s="2">
        <v>0</v>
      </c>
      <c r="BX8" s="2">
        <v>0</v>
      </c>
    </row>
    <row r="9" spans="1:76" x14ac:dyDescent="0.25">
      <c r="A9" s="2"/>
      <c r="B9" s="19" t="s">
        <v>54</v>
      </c>
      <c r="C9" s="2">
        <v>10004</v>
      </c>
      <c r="D9" s="2">
        <v>14373</v>
      </c>
      <c r="E9" s="2">
        <v>20025</v>
      </c>
      <c r="F9" s="2">
        <v>15272</v>
      </c>
      <c r="G9" s="2">
        <v>11888</v>
      </c>
      <c r="H9" s="2">
        <v>14052</v>
      </c>
      <c r="I9" s="2">
        <v>8896</v>
      </c>
      <c r="J9" s="2">
        <v>94510</v>
      </c>
      <c r="K9" s="2"/>
      <c r="L9" s="2"/>
      <c r="M9" s="20" t="s">
        <v>49</v>
      </c>
      <c r="N9" s="25">
        <f t="shared" si="0"/>
        <v>95738</v>
      </c>
      <c r="O9" s="25">
        <f t="shared" si="1"/>
        <v>14834</v>
      </c>
      <c r="P9" s="25">
        <f t="shared" si="2"/>
        <v>19925</v>
      </c>
      <c r="Q9" s="25">
        <f t="shared" si="3"/>
        <v>15130</v>
      </c>
      <c r="R9" s="25">
        <f t="shared" si="4"/>
        <v>14127</v>
      </c>
      <c r="S9" s="25">
        <f t="shared" si="5"/>
        <v>9139</v>
      </c>
      <c r="T9" s="25">
        <f t="shared" si="6"/>
        <v>10214</v>
      </c>
      <c r="U9" s="25">
        <f t="shared" si="7"/>
        <v>12369</v>
      </c>
      <c r="V9" s="2"/>
      <c r="W9" s="28"/>
      <c r="X9" s="19" t="s">
        <v>53</v>
      </c>
      <c r="Y9" s="2">
        <v>9797</v>
      </c>
      <c r="Z9" s="2">
        <v>1050</v>
      </c>
      <c r="AA9" s="2">
        <v>270</v>
      </c>
      <c r="AB9" s="2">
        <v>14659</v>
      </c>
      <c r="AC9" s="2">
        <v>2040</v>
      </c>
      <c r="AD9" s="2">
        <v>274</v>
      </c>
      <c r="AE9" s="2">
        <v>19704</v>
      </c>
      <c r="AF9" s="2">
        <v>2329</v>
      </c>
      <c r="AG9" s="2">
        <v>781</v>
      </c>
      <c r="AH9" s="2">
        <v>14984</v>
      </c>
      <c r="AI9" s="2">
        <v>1075</v>
      </c>
      <c r="AJ9" s="2">
        <v>365</v>
      </c>
      <c r="AK9" s="2">
        <v>11883</v>
      </c>
      <c r="AL9" s="2">
        <v>1338</v>
      </c>
      <c r="AM9" s="2">
        <v>339</v>
      </c>
      <c r="AN9" s="2">
        <v>13969</v>
      </c>
      <c r="AO9" s="2">
        <v>1194</v>
      </c>
      <c r="AP9" s="2">
        <v>196</v>
      </c>
      <c r="AQ9" s="2">
        <v>8942</v>
      </c>
      <c r="AR9" s="2">
        <v>314</v>
      </c>
      <c r="AS9" s="2">
        <v>40</v>
      </c>
      <c r="AT9" s="2">
        <v>93938</v>
      </c>
      <c r="AU9" s="2">
        <v>9340</v>
      </c>
      <c r="AV9" s="2">
        <v>2265</v>
      </c>
      <c r="AW9" s="2"/>
      <c r="AX9" s="28"/>
      <c r="AY9" s="21" t="s">
        <v>47</v>
      </c>
      <c r="AZ9" s="28">
        <f t="shared" si="8"/>
        <v>0.14498062054830657</v>
      </c>
      <c r="BA9" s="28">
        <f t="shared" si="9"/>
        <v>0.13531998045920859</v>
      </c>
      <c r="BB9" s="28">
        <f t="shared" si="10"/>
        <v>0.19747388875394706</v>
      </c>
      <c r="BC9" s="28">
        <f t="shared" si="11"/>
        <v>0.13789237668161436</v>
      </c>
      <c r="BD9" s="28">
        <f t="shared" si="12"/>
        <v>9.0699783715900373E-2</v>
      </c>
      <c r="BE9" s="28">
        <f t="shared" si="13"/>
        <v>4.9896049896049899E-2</v>
      </c>
      <c r="BF9" s="28">
        <f t="shared" si="14"/>
        <v>0.19808520823360459</v>
      </c>
      <c r="BG9" s="28">
        <f t="shared" si="15"/>
        <v>0.16846095526914329</v>
      </c>
      <c r="BH9" s="28"/>
      <c r="BK9" s="19" t="s">
        <v>67</v>
      </c>
      <c r="BL9" s="2">
        <v>0</v>
      </c>
      <c r="BM9" s="2">
        <v>1</v>
      </c>
      <c r="BN9" s="2">
        <v>1</v>
      </c>
      <c r="BO9" s="2">
        <v>17</v>
      </c>
      <c r="BP9" s="2">
        <v>0</v>
      </c>
      <c r="BQ9" s="2">
        <v>0</v>
      </c>
      <c r="BR9" s="2">
        <v>1</v>
      </c>
      <c r="BS9" s="2">
        <v>3</v>
      </c>
      <c r="BT9" s="2">
        <v>9</v>
      </c>
      <c r="BU9" s="2">
        <v>0</v>
      </c>
      <c r="BV9" s="2">
        <v>0</v>
      </c>
      <c r="BW9" s="2">
        <v>0</v>
      </c>
      <c r="BX9" s="2">
        <v>7</v>
      </c>
    </row>
    <row r="10" spans="1:76" x14ac:dyDescent="0.25">
      <c r="A10" s="2"/>
      <c r="B10" s="19" t="s">
        <v>55</v>
      </c>
      <c r="C10" s="2">
        <v>9892</v>
      </c>
      <c r="D10" s="2">
        <v>14838</v>
      </c>
      <c r="E10" s="2">
        <v>19784</v>
      </c>
      <c r="F10" s="2">
        <v>15293</v>
      </c>
      <c r="G10" s="2">
        <v>12029</v>
      </c>
      <c r="H10" s="2">
        <v>13762</v>
      </c>
      <c r="I10" s="2">
        <v>9142</v>
      </c>
      <c r="J10" s="2">
        <v>94740</v>
      </c>
      <c r="K10" s="2"/>
      <c r="L10" s="2"/>
      <c r="M10" s="20" t="s">
        <v>50</v>
      </c>
      <c r="N10" s="25">
        <f>(VLOOKUP($M10,$B$7:$J$1048576,9, FALSE))</f>
        <v>94512</v>
      </c>
      <c r="O10" s="25">
        <f t="shared" si="1"/>
        <v>14752</v>
      </c>
      <c r="P10" s="25">
        <f t="shared" si="2"/>
        <v>19516</v>
      </c>
      <c r="Q10" s="25">
        <f t="shared" si="3"/>
        <v>15389</v>
      </c>
      <c r="R10" s="25">
        <f t="shared" si="4"/>
        <v>13784</v>
      </c>
      <c r="S10" s="25">
        <f t="shared" si="5"/>
        <v>9076</v>
      </c>
      <c r="T10" s="25">
        <f t="shared" si="6"/>
        <v>9943</v>
      </c>
      <c r="U10" s="25">
        <f t="shared" si="7"/>
        <v>12052</v>
      </c>
      <c r="V10" s="2"/>
      <c r="W10" s="28"/>
      <c r="X10" s="19" t="s">
        <v>54</v>
      </c>
      <c r="Y10" s="2">
        <v>10004</v>
      </c>
      <c r="Z10" s="2">
        <v>1298</v>
      </c>
      <c r="AA10" s="2">
        <v>253</v>
      </c>
      <c r="AB10" s="2">
        <v>14373</v>
      </c>
      <c r="AC10" s="2">
        <v>1983</v>
      </c>
      <c r="AD10" s="2">
        <v>261</v>
      </c>
      <c r="AE10" s="2">
        <v>20025</v>
      </c>
      <c r="AF10" s="2">
        <v>2601</v>
      </c>
      <c r="AG10" s="2">
        <v>784</v>
      </c>
      <c r="AH10" s="2">
        <v>15272</v>
      </c>
      <c r="AI10" s="2">
        <v>1188</v>
      </c>
      <c r="AJ10" s="2">
        <v>424</v>
      </c>
      <c r="AK10" s="2">
        <v>11888</v>
      </c>
      <c r="AL10" s="2">
        <v>1199</v>
      </c>
      <c r="AM10" s="2">
        <v>198</v>
      </c>
      <c r="AN10" s="2">
        <v>14052</v>
      </c>
      <c r="AO10" s="2">
        <v>1056</v>
      </c>
      <c r="AP10" s="2">
        <v>188</v>
      </c>
      <c r="AQ10" s="2">
        <v>8896</v>
      </c>
      <c r="AR10" s="2">
        <v>318</v>
      </c>
      <c r="AS10" s="2">
        <v>32</v>
      </c>
      <c r="AT10" s="2">
        <v>94510</v>
      </c>
      <c r="AU10" s="2">
        <v>9643</v>
      </c>
      <c r="AV10" s="2">
        <v>2140</v>
      </c>
      <c r="AW10" s="2"/>
      <c r="AX10" s="28"/>
      <c r="AY10" s="21" t="s">
        <v>48</v>
      </c>
      <c r="AZ10" s="28">
        <f t="shared" si="8"/>
        <v>0.1814773936302439</v>
      </c>
      <c r="BA10" s="28">
        <f t="shared" si="9"/>
        <v>0.18142988566171639</v>
      </c>
      <c r="BB10" s="28">
        <f t="shared" si="10"/>
        <v>0.24666305472097719</v>
      </c>
      <c r="BC10" s="28">
        <f t="shared" si="11"/>
        <v>0.16933293087835799</v>
      </c>
      <c r="BD10" s="28">
        <f t="shared" si="12"/>
        <v>0.11754514559872059</v>
      </c>
      <c r="BE10" s="28">
        <f t="shared" si="13"/>
        <v>6.3247516724102976E-2</v>
      </c>
      <c r="BF10" s="28">
        <f t="shared" si="14"/>
        <v>0.25291939618342352</v>
      </c>
      <c r="BG10" s="28">
        <f t="shared" si="15"/>
        <v>0.20073411332874513</v>
      </c>
      <c r="BH10" s="28"/>
      <c r="BK10" s="19" t="s">
        <v>68</v>
      </c>
      <c r="BL10" s="2">
        <v>19</v>
      </c>
      <c r="BM10" s="2">
        <v>20</v>
      </c>
      <c r="BN10" s="2">
        <v>33</v>
      </c>
      <c r="BO10" s="2">
        <v>13</v>
      </c>
      <c r="BP10" s="2">
        <v>5</v>
      </c>
      <c r="BQ10" s="2">
        <v>53</v>
      </c>
      <c r="BR10" s="2">
        <v>112</v>
      </c>
      <c r="BS10" s="2">
        <v>51</v>
      </c>
      <c r="BT10" s="2">
        <v>29</v>
      </c>
      <c r="BU10" s="2">
        <v>78</v>
      </c>
      <c r="BV10" s="2">
        <v>50</v>
      </c>
      <c r="BW10" s="2">
        <v>31</v>
      </c>
      <c r="BX10" s="2">
        <v>40</v>
      </c>
    </row>
    <row r="11" spans="1:76" x14ac:dyDescent="0.25">
      <c r="A11" s="2"/>
      <c r="B11" s="19" t="s">
        <v>56</v>
      </c>
      <c r="C11" s="2">
        <v>9868</v>
      </c>
      <c r="D11" s="2">
        <v>14950</v>
      </c>
      <c r="E11" s="2">
        <v>19871</v>
      </c>
      <c r="F11" s="2">
        <v>15061</v>
      </c>
      <c r="G11" s="2">
        <v>11144</v>
      </c>
      <c r="H11" s="2">
        <v>13790</v>
      </c>
      <c r="I11" s="2">
        <v>9190</v>
      </c>
      <c r="J11" s="2">
        <v>93874</v>
      </c>
      <c r="K11" s="2"/>
      <c r="L11" s="2"/>
      <c r="M11" s="20" t="s">
        <v>51</v>
      </c>
      <c r="N11" s="25">
        <f t="shared" si="0"/>
        <v>93701</v>
      </c>
      <c r="O11" s="25">
        <f t="shared" si="1"/>
        <v>14891</v>
      </c>
      <c r="P11" s="25">
        <f t="shared" si="2"/>
        <v>19380</v>
      </c>
      <c r="Q11" s="25">
        <f t="shared" si="3"/>
        <v>15100</v>
      </c>
      <c r="R11" s="25">
        <f t="shared" si="4"/>
        <v>13995</v>
      </c>
      <c r="S11" s="25">
        <f t="shared" si="5"/>
        <v>8930</v>
      </c>
      <c r="T11" s="25">
        <f t="shared" si="6"/>
        <v>9860</v>
      </c>
      <c r="U11" s="25">
        <f t="shared" si="7"/>
        <v>11545</v>
      </c>
      <c r="V11" s="2"/>
      <c r="W11" s="28"/>
      <c r="X11" s="19" t="s">
        <v>55</v>
      </c>
      <c r="Y11" s="2">
        <v>9892</v>
      </c>
      <c r="Z11" s="2">
        <v>1247</v>
      </c>
      <c r="AA11" s="2">
        <v>338</v>
      </c>
      <c r="AB11" s="2">
        <v>14838</v>
      </c>
      <c r="AC11" s="2">
        <v>1819</v>
      </c>
      <c r="AD11" s="2">
        <v>166</v>
      </c>
      <c r="AE11" s="2">
        <v>19784</v>
      </c>
      <c r="AF11" s="2">
        <v>2717</v>
      </c>
      <c r="AG11" s="2">
        <v>529</v>
      </c>
      <c r="AH11" s="2">
        <v>15293</v>
      </c>
      <c r="AI11" s="2">
        <v>1106</v>
      </c>
      <c r="AJ11" s="2">
        <v>404</v>
      </c>
      <c r="AK11" s="2">
        <v>12029</v>
      </c>
      <c r="AL11" s="2">
        <v>1198</v>
      </c>
      <c r="AM11" s="2">
        <v>241</v>
      </c>
      <c r="AN11" s="2">
        <v>13762</v>
      </c>
      <c r="AO11" s="2">
        <v>1025</v>
      </c>
      <c r="AP11" s="2">
        <v>246</v>
      </c>
      <c r="AQ11" s="2">
        <v>9142</v>
      </c>
      <c r="AR11" s="2">
        <v>390</v>
      </c>
      <c r="AS11" s="2">
        <v>62</v>
      </c>
      <c r="AT11" s="2">
        <v>94740</v>
      </c>
      <c r="AU11" s="2">
        <v>9502</v>
      </c>
      <c r="AV11" s="2">
        <v>1986</v>
      </c>
      <c r="AW11" s="2"/>
      <c r="AX11" s="28"/>
      <c r="AY11" s="20" t="s">
        <v>49</v>
      </c>
      <c r="AZ11" s="28">
        <f t="shared" si="8"/>
        <v>0.16348785226346904</v>
      </c>
      <c r="BA11" s="28">
        <f t="shared" si="9"/>
        <v>0.17534043413779157</v>
      </c>
      <c r="BB11" s="28">
        <f t="shared" si="10"/>
        <v>0.22248431618569636</v>
      </c>
      <c r="BC11" s="28">
        <f t="shared" si="11"/>
        <v>0.13443489755452742</v>
      </c>
      <c r="BD11" s="28">
        <f t="shared" si="12"/>
        <v>0.11849649607135272</v>
      </c>
      <c r="BE11" s="28">
        <f t="shared" si="13"/>
        <v>4.5300361089834776E-2</v>
      </c>
      <c r="BF11" s="28">
        <f t="shared" si="14"/>
        <v>0.23242608184844332</v>
      </c>
      <c r="BG11" s="28">
        <f t="shared" si="15"/>
        <v>0.1715579270757539</v>
      </c>
      <c r="BH11" s="28"/>
      <c r="BK11" s="19" t="s">
        <v>69</v>
      </c>
      <c r="BL11" s="2">
        <v>8</v>
      </c>
      <c r="BM11" s="2">
        <v>1</v>
      </c>
      <c r="BN11" s="2">
        <v>1</v>
      </c>
      <c r="BO11" s="2">
        <v>3</v>
      </c>
      <c r="BP11" s="2">
        <v>2</v>
      </c>
      <c r="BQ11" s="2">
        <v>19</v>
      </c>
      <c r="BR11" s="2">
        <v>23</v>
      </c>
      <c r="BS11" s="2">
        <v>5</v>
      </c>
      <c r="BT11" s="2">
        <v>0</v>
      </c>
      <c r="BU11" s="2">
        <v>4</v>
      </c>
      <c r="BV11" s="2">
        <v>0</v>
      </c>
      <c r="BW11" s="2">
        <v>1</v>
      </c>
      <c r="BX11" s="2">
        <v>1</v>
      </c>
    </row>
    <row r="12" spans="1:76" x14ac:dyDescent="0.25">
      <c r="A12" s="2"/>
      <c r="B12" s="19" t="s">
        <v>45</v>
      </c>
      <c r="C12" s="2">
        <v>10299</v>
      </c>
      <c r="D12" s="2">
        <v>15441</v>
      </c>
      <c r="E12" s="2">
        <v>21176</v>
      </c>
      <c r="F12" s="2">
        <v>16106</v>
      </c>
      <c r="G12" s="2">
        <v>12720</v>
      </c>
      <c r="H12" s="2">
        <v>14700</v>
      </c>
      <c r="I12" s="2">
        <v>9516</v>
      </c>
      <c r="J12" s="2">
        <v>99958</v>
      </c>
      <c r="K12" s="2"/>
      <c r="L12" s="2"/>
      <c r="M12" s="20" t="s">
        <v>52</v>
      </c>
      <c r="N12" s="25">
        <f t="shared" si="0"/>
        <v>96519</v>
      </c>
      <c r="O12" s="25">
        <f t="shared" si="1"/>
        <v>15112</v>
      </c>
      <c r="P12" s="25">
        <f t="shared" si="2"/>
        <v>19736</v>
      </c>
      <c r="Q12" s="25">
        <f t="shared" si="3"/>
        <v>15735</v>
      </c>
      <c r="R12" s="25">
        <f t="shared" si="4"/>
        <v>14387</v>
      </c>
      <c r="S12" s="25">
        <f t="shared" si="5"/>
        <v>9275</v>
      </c>
      <c r="T12" s="25">
        <f t="shared" si="6"/>
        <v>10228</v>
      </c>
      <c r="U12" s="25">
        <f t="shared" si="7"/>
        <v>12046</v>
      </c>
      <c r="V12" s="2"/>
      <c r="W12" s="28"/>
      <c r="X12" s="19" t="s">
        <v>56</v>
      </c>
      <c r="Y12" s="2">
        <v>9868</v>
      </c>
      <c r="Z12" s="2">
        <v>1290</v>
      </c>
      <c r="AA12" s="2">
        <v>449</v>
      </c>
      <c r="AB12" s="2">
        <v>14950</v>
      </c>
      <c r="AC12" s="2">
        <v>1798</v>
      </c>
      <c r="AD12" s="2">
        <v>182</v>
      </c>
      <c r="AE12" s="2">
        <v>19871</v>
      </c>
      <c r="AF12" s="2">
        <v>2808</v>
      </c>
      <c r="AG12" s="2">
        <v>857</v>
      </c>
      <c r="AH12" s="2">
        <v>15061</v>
      </c>
      <c r="AI12" s="2">
        <v>1056</v>
      </c>
      <c r="AJ12" s="2">
        <v>359</v>
      </c>
      <c r="AK12" s="2">
        <v>11144</v>
      </c>
      <c r="AL12" s="2">
        <v>1115</v>
      </c>
      <c r="AM12" s="2">
        <v>268</v>
      </c>
      <c r="AN12" s="2">
        <v>13790</v>
      </c>
      <c r="AO12" s="2">
        <v>1193</v>
      </c>
      <c r="AP12" s="2">
        <v>189</v>
      </c>
      <c r="AQ12" s="2">
        <v>9190</v>
      </c>
      <c r="AR12" s="2">
        <v>404</v>
      </c>
      <c r="AS12" s="2">
        <v>106</v>
      </c>
      <c r="AT12" s="2">
        <v>93874</v>
      </c>
      <c r="AU12" s="2">
        <v>9664</v>
      </c>
      <c r="AV12" s="2">
        <v>2410</v>
      </c>
      <c r="AW12" s="2"/>
      <c r="AX12" s="28"/>
      <c r="AY12" s="20" t="s">
        <v>50</v>
      </c>
      <c r="AZ12" s="28">
        <f t="shared" si="8"/>
        <v>0.13131665820213306</v>
      </c>
      <c r="BA12" s="28">
        <f t="shared" si="9"/>
        <v>0.14608188720173534</v>
      </c>
      <c r="BB12" s="28">
        <f t="shared" si="10"/>
        <v>0.1681697069071531</v>
      </c>
      <c r="BC12" s="28">
        <f t="shared" si="11"/>
        <v>0.11709662746117357</v>
      </c>
      <c r="BD12" s="28">
        <f t="shared" si="12"/>
        <v>9.6343586767266398E-2</v>
      </c>
      <c r="BE12" s="28">
        <f t="shared" si="13"/>
        <v>4.2089026002644338E-2</v>
      </c>
      <c r="BF12" s="28">
        <f t="shared" si="14"/>
        <v>0.15689429749572564</v>
      </c>
      <c r="BG12" s="28">
        <f t="shared" si="15"/>
        <v>0.15781613010288748</v>
      </c>
      <c r="BH12" s="28"/>
      <c r="BK12" s="19" t="s">
        <v>70</v>
      </c>
      <c r="BL12" s="2">
        <v>10</v>
      </c>
      <c r="BM12" s="2">
        <v>13</v>
      </c>
      <c r="BN12" s="2">
        <v>5</v>
      </c>
      <c r="BO12" s="2">
        <v>0</v>
      </c>
      <c r="BP12" s="2">
        <v>26</v>
      </c>
      <c r="BQ12" s="2">
        <v>12</v>
      </c>
      <c r="BR12" s="2">
        <v>48</v>
      </c>
      <c r="BS12" s="2">
        <v>7</v>
      </c>
      <c r="BT12" s="2">
        <v>48</v>
      </c>
      <c r="BU12" s="2">
        <v>31</v>
      </c>
      <c r="BV12" s="2">
        <v>18</v>
      </c>
      <c r="BW12" s="2">
        <v>17</v>
      </c>
      <c r="BX12" s="2">
        <v>12</v>
      </c>
    </row>
    <row r="13" spans="1:76" x14ac:dyDescent="0.25">
      <c r="A13" s="2"/>
      <c r="B13" s="19" t="s">
        <v>46</v>
      </c>
      <c r="C13" s="2">
        <v>10735</v>
      </c>
      <c r="D13" s="2">
        <v>14845</v>
      </c>
      <c r="E13" s="2">
        <v>21092</v>
      </c>
      <c r="F13" s="2">
        <v>16084</v>
      </c>
      <c r="G13" s="2">
        <v>13120</v>
      </c>
      <c r="H13" s="2">
        <v>15048</v>
      </c>
      <c r="I13" s="2">
        <v>9960</v>
      </c>
      <c r="J13" s="2">
        <v>100884</v>
      </c>
      <c r="K13" s="2"/>
      <c r="L13" s="2"/>
      <c r="M13" s="20" t="s">
        <v>53</v>
      </c>
      <c r="N13" s="25">
        <f t="shared" si="0"/>
        <v>93938</v>
      </c>
      <c r="O13" s="25">
        <f t="shared" si="1"/>
        <v>14659</v>
      </c>
      <c r="P13" s="25">
        <f t="shared" si="2"/>
        <v>19704</v>
      </c>
      <c r="Q13" s="25">
        <f t="shared" si="3"/>
        <v>14984</v>
      </c>
      <c r="R13" s="25">
        <f t="shared" si="4"/>
        <v>13969</v>
      </c>
      <c r="S13" s="25">
        <f t="shared" si="5"/>
        <v>8942</v>
      </c>
      <c r="T13" s="25">
        <f t="shared" si="6"/>
        <v>9797</v>
      </c>
      <c r="U13" s="25">
        <f t="shared" si="7"/>
        <v>11883</v>
      </c>
      <c r="V13" s="2"/>
      <c r="W13" s="28"/>
      <c r="X13" s="19" t="s">
        <v>45</v>
      </c>
      <c r="Y13" s="2">
        <v>10299</v>
      </c>
      <c r="Z13" s="2">
        <v>1491</v>
      </c>
      <c r="AA13" s="2">
        <v>620</v>
      </c>
      <c r="AB13" s="2">
        <v>15441</v>
      </c>
      <c r="AC13" s="2">
        <v>1908</v>
      </c>
      <c r="AD13" s="2">
        <v>369</v>
      </c>
      <c r="AE13" s="2">
        <v>21176</v>
      </c>
      <c r="AF13" s="2">
        <v>3424</v>
      </c>
      <c r="AG13" s="2">
        <v>1379</v>
      </c>
      <c r="AH13" s="2">
        <v>16106</v>
      </c>
      <c r="AI13" s="2">
        <v>1674</v>
      </c>
      <c r="AJ13" s="2">
        <v>1047</v>
      </c>
      <c r="AK13" s="2">
        <v>12720</v>
      </c>
      <c r="AL13" s="2">
        <v>1794</v>
      </c>
      <c r="AM13" s="2">
        <v>837</v>
      </c>
      <c r="AN13" s="2">
        <v>14700</v>
      </c>
      <c r="AO13" s="2">
        <v>1100</v>
      </c>
      <c r="AP13" s="2">
        <v>145</v>
      </c>
      <c r="AQ13" s="2">
        <v>9516</v>
      </c>
      <c r="AR13" s="2">
        <v>394</v>
      </c>
      <c r="AS13" s="2">
        <v>72</v>
      </c>
      <c r="AT13" s="2">
        <v>99958</v>
      </c>
      <c r="AU13" s="2">
        <v>11785</v>
      </c>
      <c r="AV13" s="2">
        <v>4469</v>
      </c>
      <c r="AW13" s="2"/>
      <c r="AX13" s="28"/>
      <c r="AY13" s="20" t="s">
        <v>51</v>
      </c>
      <c r="AZ13" s="28">
        <f t="shared" si="8"/>
        <v>0.11060714400059765</v>
      </c>
      <c r="BA13" s="28">
        <f t="shared" si="9"/>
        <v>0.13531663420858236</v>
      </c>
      <c r="BB13" s="28">
        <f t="shared" si="10"/>
        <v>0.13586171310629516</v>
      </c>
      <c r="BC13" s="28">
        <f t="shared" si="11"/>
        <v>9.4900662251655624E-2</v>
      </c>
      <c r="BD13" s="28">
        <f t="shared" si="12"/>
        <v>7.1096820292961771E-2</v>
      </c>
      <c r="BE13" s="28">
        <f t="shared" si="13"/>
        <v>3.1914893617021274E-2</v>
      </c>
      <c r="BF13" s="28">
        <f t="shared" si="14"/>
        <v>0.15689655172413794</v>
      </c>
      <c r="BG13" s="28">
        <f t="shared" si="15"/>
        <v>0.12611520138588134</v>
      </c>
      <c r="BH13" s="28"/>
      <c r="BK13" s="19" t="s">
        <v>71</v>
      </c>
      <c r="BL13" s="2">
        <v>0</v>
      </c>
      <c r="BM13" s="2">
        <v>3</v>
      </c>
      <c r="BN13" s="2">
        <v>1</v>
      </c>
      <c r="BO13" s="2">
        <v>1</v>
      </c>
      <c r="BP13" s="2">
        <v>0</v>
      </c>
      <c r="BQ13" s="2">
        <v>16</v>
      </c>
      <c r="BR13" s="2">
        <v>8</v>
      </c>
      <c r="BS13" s="2">
        <v>12</v>
      </c>
      <c r="BT13" s="2">
        <v>12</v>
      </c>
      <c r="BU13" s="2">
        <v>8</v>
      </c>
      <c r="BV13" s="2">
        <v>2</v>
      </c>
      <c r="BW13" s="2">
        <v>2</v>
      </c>
      <c r="BX13" s="2">
        <v>0</v>
      </c>
    </row>
    <row r="14" spans="1:76" x14ac:dyDescent="0.25">
      <c r="A14" s="2"/>
      <c r="B14" s="19" t="s">
        <v>47</v>
      </c>
      <c r="C14" s="2">
        <v>10445</v>
      </c>
      <c r="D14" s="2">
        <v>14329</v>
      </c>
      <c r="E14" s="2">
        <v>20585</v>
      </c>
      <c r="F14" s="2">
        <v>16056</v>
      </c>
      <c r="G14" s="2">
        <v>13190</v>
      </c>
      <c r="H14" s="2">
        <v>14333</v>
      </c>
      <c r="I14" s="2">
        <v>9620</v>
      </c>
      <c r="J14" s="2">
        <v>98558</v>
      </c>
      <c r="K14" s="2"/>
      <c r="L14" s="2"/>
      <c r="M14" s="20" t="s">
        <v>54</v>
      </c>
      <c r="N14" s="25">
        <f t="shared" si="0"/>
        <v>94510</v>
      </c>
      <c r="O14" s="25">
        <f t="shared" si="1"/>
        <v>14373</v>
      </c>
      <c r="P14" s="25">
        <f t="shared" si="2"/>
        <v>20025</v>
      </c>
      <c r="Q14" s="25">
        <f t="shared" si="3"/>
        <v>15272</v>
      </c>
      <c r="R14" s="25">
        <f t="shared" si="4"/>
        <v>14052</v>
      </c>
      <c r="S14" s="25">
        <f t="shared" si="5"/>
        <v>8896</v>
      </c>
      <c r="T14" s="25">
        <f t="shared" si="6"/>
        <v>10004</v>
      </c>
      <c r="U14" s="25">
        <f t="shared" si="7"/>
        <v>11888</v>
      </c>
      <c r="V14" s="2"/>
      <c r="W14" s="28"/>
      <c r="X14" s="19" t="s">
        <v>46</v>
      </c>
      <c r="Y14" s="2">
        <v>10735</v>
      </c>
      <c r="Z14" s="2">
        <v>1473</v>
      </c>
      <c r="AA14" s="2">
        <v>824</v>
      </c>
      <c r="AB14" s="2">
        <v>14845</v>
      </c>
      <c r="AC14" s="2">
        <v>1889</v>
      </c>
      <c r="AD14" s="2">
        <v>515</v>
      </c>
      <c r="AE14" s="2">
        <v>21092</v>
      </c>
      <c r="AF14" s="2">
        <v>3733</v>
      </c>
      <c r="AG14" s="2">
        <v>1653</v>
      </c>
      <c r="AH14" s="2">
        <v>16084</v>
      </c>
      <c r="AI14" s="2">
        <v>1597</v>
      </c>
      <c r="AJ14" s="2">
        <v>854</v>
      </c>
      <c r="AK14" s="2">
        <v>13120</v>
      </c>
      <c r="AL14" s="2">
        <v>1963</v>
      </c>
      <c r="AM14" s="2">
        <v>840</v>
      </c>
      <c r="AN14" s="2">
        <v>15048</v>
      </c>
      <c r="AO14" s="2">
        <v>1552</v>
      </c>
      <c r="AP14" s="2">
        <v>237</v>
      </c>
      <c r="AQ14" s="2">
        <v>9960</v>
      </c>
      <c r="AR14" s="2">
        <v>422</v>
      </c>
      <c r="AS14" s="2">
        <v>67</v>
      </c>
      <c r="AT14" s="2">
        <v>100884</v>
      </c>
      <c r="AU14" s="2">
        <v>12629</v>
      </c>
      <c r="AV14" s="2">
        <v>4990</v>
      </c>
      <c r="AW14" s="2"/>
      <c r="AX14" s="28"/>
      <c r="AY14" s="20" t="s">
        <v>52</v>
      </c>
      <c r="AZ14" s="28">
        <f t="shared" si="8"/>
        <v>0.14339145660439914</v>
      </c>
      <c r="BA14" s="28">
        <f t="shared" si="9"/>
        <v>0.15835097935415562</v>
      </c>
      <c r="BB14" s="28">
        <f t="shared" si="10"/>
        <v>0.17845561410620187</v>
      </c>
      <c r="BC14" s="28">
        <f t="shared" si="11"/>
        <v>0.11267874165872259</v>
      </c>
      <c r="BD14" s="28">
        <f t="shared" si="12"/>
        <v>0.1167025787168972</v>
      </c>
      <c r="BE14" s="28">
        <f t="shared" si="13"/>
        <v>5.9083557951482478E-2</v>
      </c>
      <c r="BF14" s="28">
        <f t="shared" si="14"/>
        <v>0.19886585842784513</v>
      </c>
      <c r="BG14" s="28">
        <f t="shared" si="15"/>
        <v>0.15698157064585755</v>
      </c>
      <c r="BH14" s="28"/>
      <c r="BK14" s="19" t="s">
        <v>72</v>
      </c>
      <c r="BL14" s="2">
        <v>0</v>
      </c>
      <c r="BM14" s="2">
        <v>0</v>
      </c>
      <c r="BN14" s="2">
        <v>3</v>
      </c>
      <c r="BO14" s="2">
        <v>2</v>
      </c>
      <c r="BP14" s="2">
        <v>21</v>
      </c>
      <c r="BQ14" s="2">
        <v>3</v>
      </c>
      <c r="BR14" s="2">
        <v>10</v>
      </c>
      <c r="BS14" s="2">
        <v>17</v>
      </c>
      <c r="BT14" s="2">
        <v>20</v>
      </c>
      <c r="BU14" s="2">
        <v>16</v>
      </c>
      <c r="BV14" s="2">
        <v>3</v>
      </c>
      <c r="BW14" s="2">
        <v>3</v>
      </c>
      <c r="BX14" s="2">
        <v>4</v>
      </c>
    </row>
    <row r="15" spans="1:76" x14ac:dyDescent="0.25">
      <c r="A15" s="2"/>
      <c r="B15" s="19" t="s">
        <v>48</v>
      </c>
      <c r="C15" s="2">
        <v>10533</v>
      </c>
      <c r="D15" s="2">
        <v>15218</v>
      </c>
      <c r="E15" s="2">
        <v>20303</v>
      </c>
      <c r="F15" s="2">
        <v>16565</v>
      </c>
      <c r="G15" s="2">
        <v>13077</v>
      </c>
      <c r="H15" s="2">
        <v>15007</v>
      </c>
      <c r="I15" s="2">
        <v>9866</v>
      </c>
      <c r="J15" s="2">
        <v>100569</v>
      </c>
      <c r="K15" s="2"/>
      <c r="L15" s="2"/>
      <c r="M15" s="20" t="s">
        <v>55</v>
      </c>
      <c r="N15" s="25">
        <f t="shared" si="0"/>
        <v>94740</v>
      </c>
      <c r="O15" s="25">
        <f t="shared" si="1"/>
        <v>14838</v>
      </c>
      <c r="P15" s="25">
        <f t="shared" si="2"/>
        <v>19784</v>
      </c>
      <c r="Q15" s="25">
        <f t="shared" si="3"/>
        <v>15293</v>
      </c>
      <c r="R15" s="25">
        <f t="shared" si="4"/>
        <v>13762</v>
      </c>
      <c r="S15" s="25">
        <f t="shared" si="5"/>
        <v>9142</v>
      </c>
      <c r="T15" s="25">
        <f t="shared" si="6"/>
        <v>9892</v>
      </c>
      <c r="U15" s="25">
        <f t="shared" si="7"/>
        <v>12029</v>
      </c>
      <c r="V15" s="2"/>
      <c r="W15" s="28"/>
      <c r="X15" s="19" t="s">
        <v>47</v>
      </c>
      <c r="Y15" s="2">
        <v>10445</v>
      </c>
      <c r="Z15" s="2">
        <v>1413</v>
      </c>
      <c r="AA15" s="2">
        <v>656</v>
      </c>
      <c r="AB15" s="2">
        <v>14329</v>
      </c>
      <c r="AC15" s="2">
        <v>1651</v>
      </c>
      <c r="AD15" s="2">
        <v>288</v>
      </c>
      <c r="AE15" s="2">
        <v>20585</v>
      </c>
      <c r="AF15" s="2">
        <v>2875</v>
      </c>
      <c r="AG15" s="2">
        <v>1190</v>
      </c>
      <c r="AH15" s="2">
        <v>16056</v>
      </c>
      <c r="AI15" s="2">
        <v>1529</v>
      </c>
      <c r="AJ15" s="2">
        <v>685</v>
      </c>
      <c r="AK15" s="2">
        <v>13190</v>
      </c>
      <c r="AL15" s="2">
        <v>1749</v>
      </c>
      <c r="AM15" s="2">
        <v>473</v>
      </c>
      <c r="AN15" s="2">
        <v>14333</v>
      </c>
      <c r="AO15" s="2">
        <v>1080</v>
      </c>
      <c r="AP15" s="2">
        <v>220</v>
      </c>
      <c r="AQ15" s="2">
        <v>9620</v>
      </c>
      <c r="AR15" s="2">
        <v>394</v>
      </c>
      <c r="AS15" s="2">
        <v>86</v>
      </c>
      <c r="AT15" s="2">
        <v>98558</v>
      </c>
      <c r="AU15" s="2">
        <v>10691</v>
      </c>
      <c r="AV15" s="2">
        <v>3598</v>
      </c>
      <c r="AW15" s="2"/>
      <c r="AX15" s="28"/>
      <c r="AY15" s="20" t="s">
        <v>53</v>
      </c>
      <c r="AZ15" s="28">
        <f t="shared" si="8"/>
        <v>0.12353892993250867</v>
      </c>
      <c r="BA15" s="28">
        <f t="shared" si="9"/>
        <v>0.15785524251313188</v>
      </c>
      <c r="BB15" s="28">
        <f t="shared" si="10"/>
        <v>0.1578359723913926</v>
      </c>
      <c r="BC15" s="28">
        <f t="shared" si="11"/>
        <v>9.6102509343299516E-2</v>
      </c>
      <c r="BD15" s="28">
        <f t="shared" si="12"/>
        <v>9.9506049108740779E-2</v>
      </c>
      <c r="BE15" s="28">
        <f t="shared" si="13"/>
        <v>3.9588458957727578E-2</v>
      </c>
      <c r="BF15" s="28">
        <f t="shared" si="14"/>
        <v>0.13473512299683577</v>
      </c>
      <c r="BG15" s="28">
        <f t="shared" si="15"/>
        <v>0.14112597828831103</v>
      </c>
      <c r="BH15" s="28"/>
      <c r="BK15" s="19" t="s">
        <v>73</v>
      </c>
      <c r="BL15" s="2">
        <v>2</v>
      </c>
      <c r="BM15" s="2">
        <v>0</v>
      </c>
      <c r="BN15" s="2">
        <v>1</v>
      </c>
      <c r="BO15" s="2">
        <v>0</v>
      </c>
      <c r="BP15" s="2">
        <v>1</v>
      </c>
      <c r="BQ15" s="2">
        <v>1</v>
      </c>
      <c r="BR15" s="2">
        <v>1</v>
      </c>
      <c r="BS15" s="2">
        <v>0</v>
      </c>
      <c r="BT15" s="2">
        <v>2</v>
      </c>
      <c r="BU15" s="2">
        <v>2</v>
      </c>
      <c r="BV15" s="2">
        <v>0</v>
      </c>
      <c r="BW15" s="2">
        <v>0</v>
      </c>
      <c r="BX15" s="2">
        <v>0</v>
      </c>
    </row>
    <row r="16" spans="1:76" x14ac:dyDescent="0.25">
      <c r="A16" s="2"/>
      <c r="B16" s="19" t="s">
        <v>49</v>
      </c>
      <c r="C16" s="2">
        <v>10214</v>
      </c>
      <c r="D16" s="2">
        <v>14834</v>
      </c>
      <c r="E16" s="2">
        <v>19925</v>
      </c>
      <c r="F16" s="2">
        <v>15130</v>
      </c>
      <c r="G16" s="2">
        <v>12369</v>
      </c>
      <c r="H16" s="2">
        <v>14127</v>
      </c>
      <c r="I16" s="2">
        <v>9139</v>
      </c>
      <c r="J16" s="2">
        <v>95738</v>
      </c>
      <c r="K16" s="2"/>
      <c r="L16" s="2"/>
      <c r="M16" s="20" t="s">
        <v>56</v>
      </c>
      <c r="N16" s="25">
        <f t="shared" si="0"/>
        <v>93874</v>
      </c>
      <c r="O16" s="25">
        <f>(VLOOKUP($M16,$B$7:$J$1048576,3, FALSE))</f>
        <v>14950</v>
      </c>
      <c r="P16" s="25">
        <f t="shared" si="2"/>
        <v>19871</v>
      </c>
      <c r="Q16" s="25">
        <f t="shared" si="3"/>
        <v>15061</v>
      </c>
      <c r="R16" s="25">
        <f t="shared" si="4"/>
        <v>13790</v>
      </c>
      <c r="S16" s="25">
        <f t="shared" si="5"/>
        <v>9190</v>
      </c>
      <c r="T16" s="25">
        <f t="shared" si="6"/>
        <v>9868</v>
      </c>
      <c r="U16" s="25">
        <f t="shared" si="7"/>
        <v>11144</v>
      </c>
      <c r="V16" s="2"/>
      <c r="W16" s="28"/>
      <c r="X16" s="19" t="s">
        <v>48</v>
      </c>
      <c r="Y16" s="2">
        <v>10533</v>
      </c>
      <c r="Z16" s="2">
        <v>1656</v>
      </c>
      <c r="AA16" s="2">
        <v>1008</v>
      </c>
      <c r="AB16" s="2">
        <v>15218</v>
      </c>
      <c r="AC16" s="2">
        <v>2223</v>
      </c>
      <c r="AD16" s="2">
        <v>538</v>
      </c>
      <c r="AE16" s="2">
        <v>20303</v>
      </c>
      <c r="AF16" s="2">
        <v>3397</v>
      </c>
      <c r="AG16" s="2">
        <v>1611</v>
      </c>
      <c r="AH16" s="2">
        <v>16565</v>
      </c>
      <c r="AI16" s="2">
        <v>1741</v>
      </c>
      <c r="AJ16" s="2">
        <v>1064</v>
      </c>
      <c r="AK16" s="2">
        <v>13077</v>
      </c>
      <c r="AL16" s="2">
        <v>1936</v>
      </c>
      <c r="AM16" s="2">
        <v>689</v>
      </c>
      <c r="AN16" s="2">
        <v>15007</v>
      </c>
      <c r="AO16" s="2">
        <v>1370</v>
      </c>
      <c r="AP16" s="2">
        <v>394</v>
      </c>
      <c r="AQ16" s="2">
        <v>9866</v>
      </c>
      <c r="AR16" s="2">
        <v>501</v>
      </c>
      <c r="AS16" s="2">
        <v>123</v>
      </c>
      <c r="AT16" s="2">
        <v>100569</v>
      </c>
      <c r="AU16" s="2">
        <v>12824</v>
      </c>
      <c r="AV16" s="2">
        <v>5427</v>
      </c>
      <c r="AW16" s="2"/>
      <c r="AX16" s="28"/>
      <c r="AY16" s="20" t="s">
        <v>54</v>
      </c>
      <c r="AZ16" s="28">
        <f t="shared" si="8"/>
        <v>0.1246746376044863</v>
      </c>
      <c r="BA16" s="28">
        <f t="shared" si="9"/>
        <v>0.15612606971404716</v>
      </c>
      <c r="BB16" s="28">
        <f t="shared" si="10"/>
        <v>0.1690387016229713</v>
      </c>
      <c r="BC16" s="28">
        <f t="shared" si="11"/>
        <v>0.10555264536406496</v>
      </c>
      <c r="BD16" s="28">
        <f t="shared" si="12"/>
        <v>8.8528323370338738E-2</v>
      </c>
      <c r="BE16" s="28">
        <f t="shared" si="13"/>
        <v>3.9343525179856113E-2</v>
      </c>
      <c r="BF16" s="28">
        <f t="shared" si="14"/>
        <v>0.15503798480607756</v>
      </c>
      <c r="BG16" s="28">
        <f t="shared" si="15"/>
        <v>0.11751345895020189</v>
      </c>
      <c r="BH16" s="28"/>
      <c r="BK16" s="19" t="s">
        <v>74</v>
      </c>
      <c r="BL16" s="2">
        <v>9</v>
      </c>
      <c r="BM16" s="2">
        <v>12</v>
      </c>
      <c r="BN16" s="2">
        <v>4</v>
      </c>
      <c r="BO16" s="2">
        <v>0</v>
      </c>
      <c r="BP16" s="2">
        <v>3</v>
      </c>
      <c r="BQ16" s="2">
        <v>18</v>
      </c>
      <c r="BR16" s="2">
        <v>6</v>
      </c>
      <c r="BS16" s="2">
        <v>24</v>
      </c>
      <c r="BT16" s="2">
        <v>3</v>
      </c>
      <c r="BU16" s="2">
        <v>9</v>
      </c>
      <c r="BV16" s="2">
        <v>5</v>
      </c>
      <c r="BW16" s="2">
        <v>17</v>
      </c>
      <c r="BX16" s="2">
        <v>5</v>
      </c>
    </row>
    <row r="17" spans="1:76" x14ac:dyDescent="0.25">
      <c r="A17" s="2"/>
      <c r="B17" s="19" t="s">
        <v>50</v>
      </c>
      <c r="C17" s="2">
        <v>9943</v>
      </c>
      <c r="D17" s="2">
        <v>14752</v>
      </c>
      <c r="E17" s="2">
        <v>19516</v>
      </c>
      <c r="F17" s="2">
        <v>15389</v>
      </c>
      <c r="G17" s="2">
        <v>12052</v>
      </c>
      <c r="H17" s="2">
        <v>13784</v>
      </c>
      <c r="I17" s="2">
        <v>9076</v>
      </c>
      <c r="J17" s="2">
        <v>94512</v>
      </c>
      <c r="K17" s="2"/>
      <c r="L17" s="2"/>
      <c r="M17" s="20"/>
      <c r="N17" s="25"/>
      <c r="O17" s="25"/>
      <c r="P17" s="25"/>
      <c r="Q17" s="25"/>
      <c r="R17" s="25"/>
      <c r="S17" s="25"/>
      <c r="T17" s="26"/>
      <c r="U17" s="2"/>
      <c r="V17" s="2"/>
      <c r="W17" s="28"/>
      <c r="X17" s="19" t="s">
        <v>49</v>
      </c>
      <c r="Y17" s="2">
        <v>10214</v>
      </c>
      <c r="Z17" s="2">
        <v>1642</v>
      </c>
      <c r="AA17" s="2">
        <v>732</v>
      </c>
      <c r="AB17" s="2">
        <v>14834</v>
      </c>
      <c r="AC17" s="2">
        <v>2010</v>
      </c>
      <c r="AD17" s="2">
        <v>591</v>
      </c>
      <c r="AE17" s="2">
        <v>19925</v>
      </c>
      <c r="AF17" s="2">
        <v>3105</v>
      </c>
      <c r="AG17" s="2">
        <v>1328</v>
      </c>
      <c r="AH17" s="2">
        <v>15130</v>
      </c>
      <c r="AI17" s="2">
        <v>1320</v>
      </c>
      <c r="AJ17" s="2">
        <v>714</v>
      </c>
      <c r="AK17" s="2">
        <v>12369</v>
      </c>
      <c r="AL17" s="2">
        <v>1619</v>
      </c>
      <c r="AM17" s="2">
        <v>503</v>
      </c>
      <c r="AN17" s="2">
        <v>14127</v>
      </c>
      <c r="AO17" s="2">
        <v>1390</v>
      </c>
      <c r="AP17" s="2">
        <v>284</v>
      </c>
      <c r="AQ17" s="2">
        <v>9139</v>
      </c>
      <c r="AR17" s="2">
        <v>367</v>
      </c>
      <c r="AS17" s="2">
        <v>47</v>
      </c>
      <c r="AT17" s="2">
        <v>95738</v>
      </c>
      <c r="AU17" s="2">
        <v>11453</v>
      </c>
      <c r="AV17" s="2">
        <v>4199</v>
      </c>
      <c r="AW17" s="2"/>
      <c r="AX17" s="28"/>
      <c r="AY17" s="20" t="s">
        <v>55</v>
      </c>
      <c r="AZ17" s="28">
        <f t="shared" si="8"/>
        <v>0.12125818028287946</v>
      </c>
      <c r="BA17" s="28">
        <f t="shared" si="9"/>
        <v>0.13377813721525811</v>
      </c>
      <c r="BB17" s="28">
        <f t="shared" si="10"/>
        <v>0.16407197735543874</v>
      </c>
      <c r="BC17" s="28">
        <f t="shared" si="11"/>
        <v>9.8737984698881842E-2</v>
      </c>
      <c r="BD17" s="28">
        <f t="shared" si="12"/>
        <v>9.2355762243859899E-2</v>
      </c>
      <c r="BE17" s="28">
        <f t="shared" si="13"/>
        <v>4.9442135200175014E-2</v>
      </c>
      <c r="BF17" s="28">
        <f t="shared" si="14"/>
        <v>0.16023048928427011</v>
      </c>
      <c r="BG17" s="28">
        <f t="shared" si="15"/>
        <v>0.11962756671377504</v>
      </c>
      <c r="BH17" s="28"/>
      <c r="BK17" s="19" t="s">
        <v>75</v>
      </c>
      <c r="BL17" s="2">
        <v>67</v>
      </c>
      <c r="BM17" s="2">
        <v>32</v>
      </c>
      <c r="BN17" s="2">
        <v>18</v>
      </c>
      <c r="BO17" s="2">
        <v>43</v>
      </c>
      <c r="BP17" s="2">
        <v>54</v>
      </c>
      <c r="BQ17" s="2">
        <v>82</v>
      </c>
      <c r="BR17" s="2">
        <v>92</v>
      </c>
      <c r="BS17" s="2">
        <v>92</v>
      </c>
      <c r="BT17" s="2">
        <v>57</v>
      </c>
      <c r="BU17" s="2">
        <v>86</v>
      </c>
      <c r="BV17" s="2">
        <v>36</v>
      </c>
      <c r="BW17" s="2">
        <v>19</v>
      </c>
      <c r="BX17" s="2">
        <v>42</v>
      </c>
    </row>
    <row r="18" spans="1:76" x14ac:dyDescent="0.25">
      <c r="A18" s="2"/>
      <c r="B18" s="19" t="s">
        <v>51</v>
      </c>
      <c r="C18" s="2">
        <v>9860</v>
      </c>
      <c r="D18" s="2">
        <v>14891</v>
      </c>
      <c r="E18" s="2">
        <v>19380</v>
      </c>
      <c r="F18" s="2">
        <v>15100</v>
      </c>
      <c r="G18" s="2">
        <v>11545</v>
      </c>
      <c r="H18" s="2">
        <v>13995</v>
      </c>
      <c r="I18" s="2">
        <v>8930</v>
      </c>
      <c r="J18" s="2">
        <v>93701</v>
      </c>
      <c r="K18" s="2"/>
      <c r="L18" s="2"/>
      <c r="M18" s="2"/>
      <c r="N18" s="2"/>
      <c r="O18" s="2"/>
      <c r="P18" s="2"/>
      <c r="Q18" s="2"/>
      <c r="R18" s="2"/>
      <c r="S18" s="2"/>
      <c r="T18" s="2"/>
      <c r="U18" s="2"/>
      <c r="V18" s="2"/>
      <c r="X18" s="19" t="s">
        <v>50</v>
      </c>
      <c r="Y18" s="2">
        <v>9943</v>
      </c>
      <c r="Z18" s="2">
        <v>1197</v>
      </c>
      <c r="AA18" s="2">
        <v>363</v>
      </c>
      <c r="AB18" s="2">
        <v>14752</v>
      </c>
      <c r="AC18" s="2">
        <v>1872</v>
      </c>
      <c r="AD18" s="2">
        <v>283</v>
      </c>
      <c r="AE18" s="2">
        <v>19516</v>
      </c>
      <c r="AF18" s="2">
        <v>2499</v>
      </c>
      <c r="AG18" s="2">
        <v>783</v>
      </c>
      <c r="AH18" s="2">
        <v>15389</v>
      </c>
      <c r="AI18" s="2">
        <v>1263</v>
      </c>
      <c r="AJ18" s="2">
        <v>539</v>
      </c>
      <c r="AK18" s="2">
        <v>12052</v>
      </c>
      <c r="AL18" s="2">
        <v>1531</v>
      </c>
      <c r="AM18" s="2">
        <v>371</v>
      </c>
      <c r="AN18" s="2">
        <v>13784</v>
      </c>
      <c r="AO18" s="2">
        <v>1148</v>
      </c>
      <c r="AP18" s="2">
        <v>180</v>
      </c>
      <c r="AQ18" s="2">
        <v>9076</v>
      </c>
      <c r="AR18" s="2">
        <v>322</v>
      </c>
      <c r="AS18" s="2">
        <v>60</v>
      </c>
      <c r="AT18" s="2">
        <v>94512</v>
      </c>
      <c r="AU18" s="2">
        <v>9832</v>
      </c>
      <c r="AV18" s="2">
        <v>2579</v>
      </c>
      <c r="AW18" s="2"/>
      <c r="AY18" s="20" t="s">
        <v>56</v>
      </c>
      <c r="AZ18" s="28">
        <f t="shared" si="8"/>
        <v>0.12861921298762172</v>
      </c>
      <c r="BA18" s="28">
        <f t="shared" si="9"/>
        <v>0.13244147157190636</v>
      </c>
      <c r="BB18" s="28">
        <f t="shared" si="10"/>
        <v>0.18443963564994212</v>
      </c>
      <c r="BC18" s="28">
        <f t="shared" si="11"/>
        <v>9.3951264856251243E-2</v>
      </c>
      <c r="BD18" s="28">
        <f t="shared" si="12"/>
        <v>0.10021754894851341</v>
      </c>
      <c r="BE18" s="28">
        <f t="shared" si="13"/>
        <v>5.5495103373231776E-2</v>
      </c>
      <c r="BF18" s="28">
        <f t="shared" si="14"/>
        <v>0.17622618565058776</v>
      </c>
      <c r="BG18" s="28">
        <f t="shared" si="15"/>
        <v>0.12410265613783202</v>
      </c>
      <c r="BH18" s="28"/>
      <c r="BK18" s="19" t="s">
        <v>76</v>
      </c>
      <c r="BL18" s="2">
        <v>9</v>
      </c>
      <c r="BM18" s="2">
        <v>5</v>
      </c>
      <c r="BN18" s="2">
        <v>9</v>
      </c>
      <c r="BO18" s="2">
        <v>0</v>
      </c>
      <c r="BP18" s="2">
        <v>5</v>
      </c>
      <c r="BQ18" s="2">
        <v>26</v>
      </c>
      <c r="BR18" s="2">
        <v>19</v>
      </c>
      <c r="BS18" s="2">
        <v>46</v>
      </c>
      <c r="BT18" s="2">
        <v>42</v>
      </c>
      <c r="BU18" s="2">
        <v>13</v>
      </c>
      <c r="BV18" s="2">
        <v>21</v>
      </c>
      <c r="BW18" s="2">
        <v>9</v>
      </c>
      <c r="BX18" s="2">
        <v>12</v>
      </c>
    </row>
    <row r="19" spans="1:76" x14ac:dyDescent="0.25">
      <c r="A19" s="2"/>
      <c r="B19" s="19" t="s">
        <v>52</v>
      </c>
      <c r="C19" s="2">
        <v>10228</v>
      </c>
      <c r="D19" s="2">
        <v>15112</v>
      </c>
      <c r="E19" s="2">
        <v>19736</v>
      </c>
      <c r="F19" s="2">
        <v>15735</v>
      </c>
      <c r="G19" s="2">
        <v>12046</v>
      </c>
      <c r="H19" s="2">
        <v>14387</v>
      </c>
      <c r="I19" s="2">
        <v>9275</v>
      </c>
      <c r="J19" s="2">
        <v>96519</v>
      </c>
      <c r="K19" s="2"/>
      <c r="L19" s="2"/>
      <c r="M19" s="2"/>
      <c r="N19" s="2"/>
      <c r="O19" s="2"/>
      <c r="P19" s="2"/>
      <c r="Q19" s="2"/>
      <c r="R19" s="2"/>
      <c r="S19" s="2"/>
      <c r="T19" s="2"/>
      <c r="U19" s="2"/>
      <c r="V19" s="2"/>
      <c r="X19" s="19" t="s">
        <v>51</v>
      </c>
      <c r="Y19" s="2">
        <v>9860</v>
      </c>
      <c r="Z19" s="2">
        <v>1165</v>
      </c>
      <c r="AA19" s="2">
        <v>382</v>
      </c>
      <c r="AB19" s="2">
        <v>14891</v>
      </c>
      <c r="AC19" s="2">
        <v>1771</v>
      </c>
      <c r="AD19" s="2">
        <v>244</v>
      </c>
      <c r="AE19" s="2">
        <v>19380</v>
      </c>
      <c r="AF19" s="2">
        <v>2150</v>
      </c>
      <c r="AG19" s="2">
        <v>483</v>
      </c>
      <c r="AH19" s="2">
        <v>15100</v>
      </c>
      <c r="AI19" s="2">
        <v>1039</v>
      </c>
      <c r="AJ19" s="2">
        <v>394</v>
      </c>
      <c r="AK19" s="2">
        <v>11545</v>
      </c>
      <c r="AL19" s="2">
        <v>1200</v>
      </c>
      <c r="AM19" s="2">
        <v>256</v>
      </c>
      <c r="AN19" s="2">
        <v>13995</v>
      </c>
      <c r="AO19" s="2">
        <v>878</v>
      </c>
      <c r="AP19" s="2">
        <v>117</v>
      </c>
      <c r="AQ19" s="2">
        <v>8930</v>
      </c>
      <c r="AR19" s="2">
        <v>251</v>
      </c>
      <c r="AS19" s="2">
        <v>34</v>
      </c>
      <c r="AT19" s="2">
        <v>93701</v>
      </c>
      <c r="AU19" s="2">
        <v>8454</v>
      </c>
      <c r="AV19" s="2">
        <v>1910</v>
      </c>
      <c r="AW19" s="2"/>
      <c r="AY19" s="20"/>
      <c r="AZ19" s="28"/>
      <c r="BA19" s="28"/>
      <c r="BB19" s="28"/>
      <c r="BC19" s="28"/>
      <c r="BD19" s="28"/>
      <c r="BE19" s="28"/>
      <c r="BF19" s="28"/>
      <c r="BG19" s="28"/>
      <c r="BH19" s="28"/>
      <c r="BK19" s="19" t="s">
        <v>77</v>
      </c>
      <c r="BL19" s="2">
        <v>6</v>
      </c>
      <c r="BM19" s="2">
        <v>14</v>
      </c>
      <c r="BN19" s="2">
        <v>11</v>
      </c>
      <c r="BO19" s="2">
        <v>17</v>
      </c>
      <c r="BP19" s="2">
        <v>9</v>
      </c>
      <c r="BQ19" s="2">
        <v>21</v>
      </c>
      <c r="BR19" s="2">
        <v>19</v>
      </c>
      <c r="BS19" s="2">
        <v>11</v>
      </c>
      <c r="BT19" s="2">
        <v>41</v>
      </c>
      <c r="BU19" s="2">
        <v>25</v>
      </c>
      <c r="BV19" s="2">
        <v>27</v>
      </c>
      <c r="BW19" s="2">
        <v>14</v>
      </c>
      <c r="BX19" s="2">
        <v>20</v>
      </c>
    </row>
    <row r="20" spans="1:76" x14ac:dyDescent="0.25">
      <c r="A20" s="2"/>
      <c r="H20" s="2"/>
      <c r="I20" s="2"/>
      <c r="J20" s="2"/>
      <c r="K20" s="2"/>
      <c r="L20" s="2"/>
      <c r="M20" s="2"/>
      <c r="N20" s="2"/>
      <c r="O20" s="2"/>
      <c r="P20" s="2"/>
      <c r="Q20" s="2"/>
      <c r="R20" s="2"/>
      <c r="S20" s="2"/>
      <c r="T20" s="2"/>
      <c r="U20" s="2"/>
      <c r="V20" s="2"/>
      <c r="X20" s="19" t="s">
        <v>52</v>
      </c>
      <c r="Y20" s="2">
        <v>10228</v>
      </c>
      <c r="Z20" s="2">
        <v>1614</v>
      </c>
      <c r="AA20" s="2">
        <v>420</v>
      </c>
      <c r="AB20" s="2">
        <v>15112</v>
      </c>
      <c r="AC20" s="2">
        <v>2080</v>
      </c>
      <c r="AD20" s="2">
        <v>313</v>
      </c>
      <c r="AE20" s="2">
        <v>19736</v>
      </c>
      <c r="AF20" s="2">
        <v>2566</v>
      </c>
      <c r="AG20" s="2">
        <v>956</v>
      </c>
      <c r="AH20" s="2">
        <v>15735</v>
      </c>
      <c r="AI20" s="2">
        <v>1319</v>
      </c>
      <c r="AJ20" s="2">
        <v>454</v>
      </c>
      <c r="AK20" s="2">
        <v>12046</v>
      </c>
      <c r="AL20" s="2">
        <v>1465</v>
      </c>
      <c r="AM20" s="2">
        <v>426</v>
      </c>
      <c r="AN20" s="2">
        <v>14387</v>
      </c>
      <c r="AO20" s="2">
        <v>1406</v>
      </c>
      <c r="AP20" s="2">
        <v>273</v>
      </c>
      <c r="AQ20" s="2">
        <v>9275</v>
      </c>
      <c r="AR20" s="2">
        <v>460</v>
      </c>
      <c r="AS20" s="2">
        <v>88</v>
      </c>
      <c r="AT20" s="2">
        <v>96519</v>
      </c>
      <c r="AU20" s="2">
        <v>10910</v>
      </c>
      <c r="AV20" s="2">
        <v>2930</v>
      </c>
      <c r="AW20" s="2"/>
      <c r="BK20" s="19" t="s">
        <v>78</v>
      </c>
      <c r="BL20" s="2">
        <v>6</v>
      </c>
      <c r="BM20" s="2">
        <v>6</v>
      </c>
      <c r="BN20" s="2">
        <v>4</v>
      </c>
      <c r="BO20" s="2">
        <v>1</v>
      </c>
      <c r="BP20" s="2">
        <v>3</v>
      </c>
      <c r="BQ20" s="2">
        <v>2</v>
      </c>
      <c r="BR20" s="2">
        <v>16</v>
      </c>
      <c r="BS20" s="2">
        <v>3</v>
      </c>
      <c r="BT20" s="2">
        <v>13</v>
      </c>
      <c r="BU20" s="2">
        <v>6</v>
      </c>
      <c r="BV20" s="2">
        <v>2</v>
      </c>
      <c r="BW20" s="2">
        <v>0</v>
      </c>
      <c r="BX20" s="2">
        <v>2</v>
      </c>
    </row>
    <row r="21" spans="1:76" x14ac:dyDescent="0.25">
      <c r="BK21" s="19" t="s">
        <v>79</v>
      </c>
      <c r="BL21" s="2">
        <v>0</v>
      </c>
      <c r="BM21" s="2">
        <v>0</v>
      </c>
      <c r="BN21" s="2">
        <v>0</v>
      </c>
      <c r="BO21" s="2">
        <v>0</v>
      </c>
      <c r="BP21" s="2">
        <v>0</v>
      </c>
      <c r="BQ21" s="2">
        <v>0</v>
      </c>
      <c r="BR21" s="2">
        <v>1</v>
      </c>
      <c r="BS21" s="2">
        <v>0</v>
      </c>
      <c r="BT21" s="2">
        <v>1</v>
      </c>
      <c r="BU21" s="2">
        <v>0</v>
      </c>
      <c r="BV21" s="2">
        <v>0</v>
      </c>
      <c r="BW21" s="2">
        <v>0</v>
      </c>
      <c r="BX21" s="2">
        <v>5</v>
      </c>
    </row>
    <row r="22" spans="1:76" x14ac:dyDescent="0.25">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Z22" t="s">
        <v>42</v>
      </c>
      <c r="BA22" t="s">
        <v>1</v>
      </c>
      <c r="BB22" t="s">
        <v>241</v>
      </c>
      <c r="BC22" t="s">
        <v>282</v>
      </c>
      <c r="BD22" s="45" t="s">
        <v>238</v>
      </c>
      <c r="BE22" s="54" t="s">
        <v>239</v>
      </c>
      <c r="BF22" s="54" t="s">
        <v>285</v>
      </c>
      <c r="BG22" s="54" t="s">
        <v>284</v>
      </c>
      <c r="BH22" s="54"/>
      <c r="BK22" s="19" t="s">
        <v>80</v>
      </c>
      <c r="BL22" s="2">
        <v>2</v>
      </c>
      <c r="BM22" s="2">
        <v>4</v>
      </c>
      <c r="BN22" s="2">
        <v>10</v>
      </c>
      <c r="BO22" s="2">
        <v>9</v>
      </c>
      <c r="BP22" s="2">
        <v>11</v>
      </c>
      <c r="BQ22" s="2">
        <v>10</v>
      </c>
      <c r="BR22" s="2">
        <v>22</v>
      </c>
      <c r="BS22" s="2">
        <v>1</v>
      </c>
      <c r="BT22" s="2">
        <v>49</v>
      </c>
      <c r="BU22" s="2">
        <v>58</v>
      </c>
      <c r="BV22" s="2">
        <v>14</v>
      </c>
      <c r="BW22" s="2">
        <v>17</v>
      </c>
      <c r="BX22" s="2">
        <v>8</v>
      </c>
    </row>
    <row r="23" spans="1:76" x14ac:dyDescent="0.25">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1" t="s">
        <v>44</v>
      </c>
      <c r="AZ23" s="28">
        <f>VLOOKUP($AY23,$X$8:$AV$1048576,25,FALSE)/VLOOKUP($AY23,$X$8:$AV$1048576,23,FALSE)</f>
        <v>3.1749043733583678E-2</v>
      </c>
      <c r="BA23" s="28">
        <f>VLOOKUP($AY23,$X$8:$AV$1048576,7,FALSE)/VLOOKUP($AY23,$X$8:$AV$1048576,5,FALSE)</f>
        <v>1.8703160638644509E-2</v>
      </c>
      <c r="BB23" s="28">
        <f>VLOOKUP($AY23,$X$8:$AV$1048576,10,FALSE)/VLOOKUP($AY23,$X$8:$AV$1048576,8,FALSE)</f>
        <v>4.4536534247880344E-2</v>
      </c>
      <c r="BC23" s="28">
        <f>VLOOKUP($AY23,$X$8:$AV$1048576,13,FALSE)/VLOOKUP($AY23,$X$8:$AV$1048576,11,FALSE)</f>
        <v>4.4277257030093733E-2</v>
      </c>
      <c r="BD23" s="28">
        <f>VLOOKUP($AY23,$X$8:$AV$1048576,19,FALSE)/VLOOKUP($AY23,$X$8:$AV$1048576,17,FALSE)</f>
        <v>1.1799208839176102E-2</v>
      </c>
      <c r="BE23" s="28">
        <f>VLOOKUP($AY23,$X$8:$AV$1048576,22,FALSE)/VLOOKUP($AY23,$X$8:$AV$1048576,20,FALSE)</f>
        <v>4.9591899989668356E-3</v>
      </c>
      <c r="BF23" s="28">
        <f>VLOOKUP($AY23,$X$8:$AV$1048576,4,FALSE)/VLOOKUP($AY23,$X$8:$AV$1048576,2,FALSE)</f>
        <v>4.19921875E-2</v>
      </c>
      <c r="BG23" s="28">
        <f>VLOOKUP($AY23,$X$8:$AV$1048576,16,FALSE)/VLOOKUP($AY23,$X$8:$AV$1048576,14,FALSE)</f>
        <v>4.5255137381667053E-2</v>
      </c>
      <c r="BH23" s="28"/>
      <c r="BK23" s="19" t="s">
        <v>81</v>
      </c>
      <c r="BL23" s="2">
        <v>2</v>
      </c>
      <c r="BM23" s="2">
        <v>7</v>
      </c>
      <c r="BN23" s="2">
        <v>2</v>
      </c>
      <c r="BO23" s="2">
        <v>0</v>
      </c>
      <c r="BP23" s="2">
        <v>1</v>
      </c>
      <c r="BQ23" s="2">
        <v>0</v>
      </c>
      <c r="BR23" s="2">
        <v>0</v>
      </c>
      <c r="BS23" s="2">
        <v>0</v>
      </c>
      <c r="BT23" s="2">
        <v>1</v>
      </c>
      <c r="BU23" s="2">
        <v>4</v>
      </c>
      <c r="BV23" s="2">
        <v>1</v>
      </c>
      <c r="BW23" s="2">
        <v>1</v>
      </c>
      <c r="BX23" s="2">
        <v>1</v>
      </c>
    </row>
    <row r="24" spans="1:76" x14ac:dyDescent="0.25">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0" t="s">
        <v>45</v>
      </c>
      <c r="AZ24" s="28">
        <f t="shared" ref="AZ24:AZ35" si="16">VLOOKUP($AY24,$X$8:$AV$1048576,25,FALSE)/VLOOKUP($AY24,$X$8:$AV$1048576,23,FALSE)</f>
        <v>4.4708777686628384E-2</v>
      </c>
      <c r="BA24" s="28">
        <f t="shared" ref="BA24:BA35" si="17">VLOOKUP($AY24,$X$8:$AV$1048576,7,FALSE)/VLOOKUP($AY24,$X$8:$AV$1048576,5,FALSE)</f>
        <v>2.3897415970468235E-2</v>
      </c>
      <c r="BB24" s="28">
        <f t="shared" ref="BB24:BB35" si="18">VLOOKUP($AY24,$X$8:$AV$1048576,10,FALSE)/VLOOKUP($AY24,$X$8:$AV$1048576,8,FALSE)</f>
        <v>6.5120891575368337E-2</v>
      </c>
      <c r="BC24" s="28">
        <f t="shared" ref="BC24:BC35" si="19">VLOOKUP($AY24,$X$8:$AV$1048576,13,FALSE)/VLOOKUP($AY24,$X$8:$AV$1048576,11,FALSE)</f>
        <v>6.500682975288713E-2</v>
      </c>
      <c r="BD24" s="28">
        <f t="shared" ref="BD24:BD35" si="20">VLOOKUP($AY24,$X$8:$AV$1048576,19,FALSE)/VLOOKUP($AY24,$X$8:$AV$1048576,17,FALSE)</f>
        <v>9.8639455782312917E-3</v>
      </c>
      <c r="BE24" s="28">
        <f t="shared" ref="BE24:BE35" si="21">VLOOKUP($AY24,$X$8:$AV$1048576,22,FALSE)/VLOOKUP($AY24,$X$8:$AV$1048576,20,FALSE)</f>
        <v>7.5662042875157629E-3</v>
      </c>
      <c r="BF24" s="28">
        <f t="shared" ref="BF24:BF35" si="22">VLOOKUP($AY24,$X$8:$AV$1048576,4,FALSE)/VLOOKUP($AY24,$X$8:$AV$1048576,2,FALSE)</f>
        <v>6.0200019419361102E-2</v>
      </c>
      <c r="BG24" s="28">
        <f t="shared" ref="BG24:BG35" si="23">VLOOKUP($AY24,$X$8:$AV$1048576,16,FALSE)/VLOOKUP($AY24,$X$8:$AV$1048576,14,FALSE)</f>
        <v>6.5801886792452829E-2</v>
      </c>
      <c r="BH24" s="28"/>
      <c r="BK24" s="19" t="s">
        <v>82</v>
      </c>
      <c r="BL24" s="2">
        <v>6</v>
      </c>
      <c r="BM24" s="2">
        <v>0</v>
      </c>
      <c r="BN24" s="2">
        <v>1</v>
      </c>
      <c r="BO24" s="2">
        <v>2</v>
      </c>
      <c r="BP24" s="2">
        <v>18</v>
      </c>
      <c r="BQ24" s="2">
        <v>3</v>
      </c>
      <c r="BR24" s="2">
        <v>11</v>
      </c>
      <c r="BS24" s="2">
        <v>12</v>
      </c>
      <c r="BT24" s="2">
        <v>1</v>
      </c>
      <c r="BU24" s="2">
        <v>3</v>
      </c>
      <c r="BV24" s="2">
        <v>1</v>
      </c>
      <c r="BW24" s="2">
        <v>1</v>
      </c>
      <c r="BX24" s="2">
        <v>2</v>
      </c>
    </row>
    <row r="25" spans="1:76" x14ac:dyDescent="0.25">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0" t="s">
        <v>46</v>
      </c>
      <c r="AZ25" s="28">
        <f t="shared" si="16"/>
        <v>4.9462749296221402E-2</v>
      </c>
      <c r="BA25" s="28">
        <f t="shared" si="17"/>
        <v>3.4691815426069382E-2</v>
      </c>
      <c r="BB25" s="28">
        <f t="shared" si="18"/>
        <v>7.8370946330362221E-2</v>
      </c>
      <c r="BC25" s="28">
        <f t="shared" si="19"/>
        <v>5.3096244715244961E-2</v>
      </c>
      <c r="BD25" s="28">
        <f t="shared" si="20"/>
        <v>1.5749601275917065E-2</v>
      </c>
      <c r="BE25" s="28">
        <f t="shared" si="21"/>
        <v>6.7269076305220884E-3</v>
      </c>
      <c r="BF25" s="28">
        <f t="shared" si="22"/>
        <v>7.675826734979041E-2</v>
      </c>
      <c r="BG25" s="28">
        <f t="shared" si="23"/>
        <v>6.402439024390244E-2</v>
      </c>
      <c r="BH25" s="28"/>
      <c r="BK25" s="19" t="s">
        <v>83</v>
      </c>
      <c r="BL25" s="2">
        <v>18</v>
      </c>
      <c r="BM25" s="2">
        <v>10</v>
      </c>
      <c r="BN25" s="2">
        <v>4</v>
      </c>
      <c r="BO25" s="2">
        <v>2</v>
      </c>
      <c r="BP25" s="2">
        <v>0</v>
      </c>
      <c r="BQ25" s="2">
        <v>3</v>
      </c>
      <c r="BR25" s="2">
        <v>57</v>
      </c>
      <c r="BS25" s="2">
        <v>18</v>
      </c>
      <c r="BT25" s="2">
        <v>29</v>
      </c>
      <c r="BU25" s="2">
        <v>16</v>
      </c>
      <c r="BV25" s="2">
        <v>20</v>
      </c>
      <c r="BW25" s="2">
        <v>10</v>
      </c>
      <c r="BX25" s="2">
        <v>3</v>
      </c>
    </row>
    <row r="26" spans="1:76" x14ac:dyDescent="0.25">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0" t="s">
        <v>47</v>
      </c>
      <c r="AZ26" s="28">
        <f t="shared" si="16"/>
        <v>3.6506422614095251E-2</v>
      </c>
      <c r="BA26" s="28">
        <f t="shared" si="17"/>
        <v>2.0099099727824692E-2</v>
      </c>
      <c r="BB26" s="28">
        <f t="shared" si="18"/>
        <v>5.7809084284673302E-2</v>
      </c>
      <c r="BC26" s="28">
        <f t="shared" si="19"/>
        <v>4.2663178873941207E-2</v>
      </c>
      <c r="BD26" s="28">
        <f t="shared" si="20"/>
        <v>1.5349194167306216E-2</v>
      </c>
      <c r="BE26" s="28">
        <f t="shared" si="21"/>
        <v>8.9397089397089402E-3</v>
      </c>
      <c r="BF26" s="28">
        <f t="shared" si="22"/>
        <v>6.2805169937769273E-2</v>
      </c>
      <c r="BG26" s="28">
        <f t="shared" si="23"/>
        <v>3.586050037907506E-2</v>
      </c>
      <c r="BH26" s="28"/>
      <c r="BK26" s="19" t="s">
        <v>84</v>
      </c>
      <c r="BL26" s="2">
        <v>118</v>
      </c>
      <c r="BM26" s="2">
        <v>46</v>
      </c>
      <c r="BN26" s="2">
        <v>73</v>
      </c>
      <c r="BO26" s="2">
        <v>44</v>
      </c>
      <c r="BP26" s="2">
        <v>65</v>
      </c>
      <c r="BQ26" s="2">
        <v>109</v>
      </c>
      <c r="BR26" s="2">
        <v>126</v>
      </c>
      <c r="BS26" s="2">
        <v>53</v>
      </c>
      <c r="BT26" s="2">
        <v>169</v>
      </c>
      <c r="BU26" s="2">
        <v>106</v>
      </c>
      <c r="BV26" s="2">
        <v>82</v>
      </c>
      <c r="BW26" s="2">
        <v>82</v>
      </c>
      <c r="BX26" s="2">
        <v>70</v>
      </c>
    </row>
    <row r="27" spans="1:76" x14ac:dyDescent="0.25">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0" t="s">
        <v>48</v>
      </c>
      <c r="AZ27" s="28">
        <f t="shared" si="16"/>
        <v>5.3962950809891719E-2</v>
      </c>
      <c r="BA27" s="28">
        <f t="shared" si="17"/>
        <v>3.5352871599421735E-2</v>
      </c>
      <c r="BB27" s="28">
        <f t="shared" si="18"/>
        <v>7.9347879623700934E-2</v>
      </c>
      <c r="BC27" s="28">
        <f t="shared" si="19"/>
        <v>6.423181406580139E-2</v>
      </c>
      <c r="BD27" s="28">
        <f t="shared" si="20"/>
        <v>2.6254414606516958E-2</v>
      </c>
      <c r="BE27" s="28">
        <f t="shared" si="21"/>
        <v>1.246705858503953E-2</v>
      </c>
      <c r="BF27" s="28">
        <f t="shared" si="22"/>
        <v>9.569923098832242E-2</v>
      </c>
      <c r="BG27" s="28">
        <f t="shared" si="23"/>
        <v>5.2687925365144911E-2</v>
      </c>
      <c r="BH27" s="28"/>
      <c r="BK27" s="19" t="s">
        <v>85</v>
      </c>
      <c r="BL27" s="2">
        <v>10</v>
      </c>
      <c r="BM27" s="2">
        <v>23</v>
      </c>
      <c r="BN27" s="2">
        <v>17</v>
      </c>
      <c r="BO27" s="2">
        <v>20</v>
      </c>
      <c r="BP27" s="2">
        <v>15</v>
      </c>
      <c r="BQ27" s="2">
        <v>15</v>
      </c>
      <c r="BR27" s="2">
        <v>28</v>
      </c>
      <c r="BS27" s="2">
        <v>6</v>
      </c>
      <c r="BT27" s="2">
        <v>58</v>
      </c>
      <c r="BU27" s="2">
        <v>52</v>
      </c>
      <c r="BV27" s="2">
        <v>22</v>
      </c>
      <c r="BW27" s="2">
        <v>7</v>
      </c>
      <c r="BX27" s="2">
        <v>25</v>
      </c>
    </row>
    <row r="28" spans="1:76" x14ac:dyDescent="0.25">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0" t="s">
        <v>49</v>
      </c>
      <c r="AZ28" s="28">
        <f t="shared" si="16"/>
        <v>4.3859282625498756E-2</v>
      </c>
      <c r="BA28" s="28">
        <f>VLOOKUP($AY28,$X$8:$AV$1048576,7,FALSE)/VLOOKUP($AY28,$X$8:$AV$1048576,5,FALSE)</f>
        <v>3.9840906026695426E-2</v>
      </c>
      <c r="BB28" s="28">
        <f t="shared" si="18"/>
        <v>6.664993726474279E-2</v>
      </c>
      <c r="BC28" s="28">
        <f t="shared" si="19"/>
        <v>4.7191011235955059E-2</v>
      </c>
      <c r="BD28" s="28">
        <f t="shared" si="20"/>
        <v>2.0103348198485169E-2</v>
      </c>
      <c r="BE28" s="28">
        <f t="shared" si="21"/>
        <v>5.1427946164788272E-3</v>
      </c>
      <c r="BF28" s="28">
        <f t="shared" si="22"/>
        <v>7.1666340317211669E-2</v>
      </c>
      <c r="BG28" s="28">
        <f t="shared" si="23"/>
        <v>4.0666181582989736E-2</v>
      </c>
      <c r="BH28" s="28"/>
      <c r="BK28" s="19" t="s">
        <v>86</v>
      </c>
      <c r="BL28" s="2">
        <v>0</v>
      </c>
      <c r="BM28" s="2">
        <v>0</v>
      </c>
      <c r="BN28" s="2">
        <v>2</v>
      </c>
      <c r="BO28" s="2">
        <v>0</v>
      </c>
      <c r="BP28" s="2">
        <v>2</v>
      </c>
      <c r="BQ28" s="2">
        <v>0</v>
      </c>
      <c r="BR28" s="2">
        <v>6</v>
      </c>
      <c r="BS28" s="2">
        <v>0</v>
      </c>
      <c r="BT28" s="2">
        <v>0</v>
      </c>
      <c r="BU28" s="2">
        <v>0</v>
      </c>
      <c r="BV28" s="2">
        <v>0</v>
      </c>
      <c r="BW28" s="2">
        <v>0</v>
      </c>
      <c r="BX28" s="2">
        <v>0</v>
      </c>
    </row>
    <row r="29" spans="1:76" x14ac:dyDescent="0.25">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0" t="s">
        <v>50</v>
      </c>
      <c r="AZ29" s="28">
        <f t="shared" si="16"/>
        <v>2.7287540206534618E-2</v>
      </c>
      <c r="BA29" s="28">
        <f t="shared" si="17"/>
        <v>1.9183839479392624E-2</v>
      </c>
      <c r="BB29" s="28">
        <f t="shared" si="18"/>
        <v>4.0120926419348224E-2</v>
      </c>
      <c r="BC29" s="28">
        <f t="shared" si="19"/>
        <v>3.5025017869907075E-2</v>
      </c>
      <c r="BD29" s="28">
        <f t="shared" si="20"/>
        <v>1.30586186883343E-2</v>
      </c>
      <c r="BE29" s="28">
        <f t="shared" si="21"/>
        <v>6.6108417805200532E-3</v>
      </c>
      <c r="BF29" s="28">
        <f t="shared" si="22"/>
        <v>3.6508096148043852E-2</v>
      </c>
      <c r="BG29" s="28">
        <f t="shared" si="23"/>
        <v>3.0783272485894457E-2</v>
      </c>
      <c r="BH29" s="28"/>
      <c r="BK29" s="19" t="s">
        <v>87</v>
      </c>
      <c r="BL29" s="2">
        <v>12</v>
      </c>
      <c r="BM29" s="2">
        <v>1</v>
      </c>
      <c r="BN29" s="2">
        <v>1</v>
      </c>
      <c r="BO29" s="2">
        <v>1</v>
      </c>
      <c r="BP29" s="2">
        <v>0</v>
      </c>
      <c r="BQ29" s="2">
        <v>13</v>
      </c>
      <c r="BR29" s="2">
        <v>8</v>
      </c>
      <c r="BS29" s="2">
        <v>10</v>
      </c>
      <c r="BT29" s="2">
        <v>3</v>
      </c>
      <c r="BU29" s="2">
        <v>5</v>
      </c>
      <c r="BV29" s="2">
        <v>1</v>
      </c>
      <c r="BW29" s="2">
        <v>4</v>
      </c>
      <c r="BX29" s="2">
        <v>4</v>
      </c>
    </row>
    <row r="30" spans="1:76" x14ac:dyDescent="0.25">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0" t="s">
        <v>51</v>
      </c>
      <c r="AZ30" s="28">
        <f t="shared" si="16"/>
        <v>2.0383987364062283E-2</v>
      </c>
      <c r="BA30" s="28">
        <f t="shared" si="17"/>
        <v>1.638573635081593E-2</v>
      </c>
      <c r="BB30" s="28">
        <f t="shared" si="18"/>
        <v>2.4922600619195046E-2</v>
      </c>
      <c r="BC30" s="28">
        <f t="shared" si="19"/>
        <v>2.6092715231788081E-2</v>
      </c>
      <c r="BD30" s="28">
        <f t="shared" si="20"/>
        <v>8.3601286173633441E-3</v>
      </c>
      <c r="BE30" s="28">
        <f t="shared" si="21"/>
        <v>3.8073908174692051E-3</v>
      </c>
      <c r="BF30" s="28">
        <f t="shared" si="22"/>
        <v>3.8742393509127789E-2</v>
      </c>
      <c r="BG30" s="28">
        <f t="shared" si="23"/>
        <v>2.2174101342572541E-2</v>
      </c>
      <c r="BH30" s="28"/>
      <c r="BK30" s="19" t="s">
        <v>88</v>
      </c>
      <c r="BL30" s="2">
        <v>0</v>
      </c>
      <c r="BM30" s="2">
        <v>0</v>
      </c>
      <c r="BN30" s="2">
        <v>0</v>
      </c>
      <c r="BO30" s="2">
        <v>0</v>
      </c>
      <c r="BP30" s="2">
        <v>1</v>
      </c>
      <c r="BQ30" s="2">
        <v>0</v>
      </c>
      <c r="BR30" s="2">
        <v>0</v>
      </c>
      <c r="BS30" s="2">
        <v>0</v>
      </c>
      <c r="BT30" s="2">
        <v>1</v>
      </c>
      <c r="BU30" s="2">
        <v>0</v>
      </c>
      <c r="BV30" s="2">
        <v>0</v>
      </c>
      <c r="BW30" s="2">
        <v>0</v>
      </c>
      <c r="BX30" s="2">
        <v>1</v>
      </c>
    </row>
    <row r="31" spans="1:76" x14ac:dyDescent="0.25">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0" t="s">
        <v>52</v>
      </c>
      <c r="AZ31" s="28">
        <f t="shared" si="16"/>
        <v>3.035671733026658E-2</v>
      </c>
      <c r="BA31" s="28">
        <f t="shared" si="17"/>
        <v>2.0712016940179989E-2</v>
      </c>
      <c r="BB31" s="28">
        <f t="shared" si="18"/>
        <v>4.8439400081070123E-2</v>
      </c>
      <c r="BC31" s="28">
        <f t="shared" si="19"/>
        <v>2.8852875754687004E-2</v>
      </c>
      <c r="BD31" s="28">
        <f t="shared" si="20"/>
        <v>1.8975463960519915E-2</v>
      </c>
      <c r="BE31" s="28">
        <f t="shared" si="21"/>
        <v>9.4878706199460917E-3</v>
      </c>
      <c r="BF31" s="28">
        <f t="shared" si="22"/>
        <v>4.1063746578021115E-2</v>
      </c>
      <c r="BG31" s="28">
        <f t="shared" si="23"/>
        <v>3.536443632741159E-2</v>
      </c>
      <c r="BH31" s="28"/>
      <c r="BK31" s="19" t="s">
        <v>89</v>
      </c>
      <c r="BL31" s="2">
        <v>30</v>
      </c>
      <c r="BM31" s="2">
        <v>8</v>
      </c>
      <c r="BN31" s="2">
        <v>12</v>
      </c>
      <c r="BO31" s="2">
        <v>27</v>
      </c>
      <c r="BP31" s="2">
        <v>27</v>
      </c>
      <c r="BQ31" s="2">
        <v>27</v>
      </c>
      <c r="BR31" s="2">
        <v>48</v>
      </c>
      <c r="BS31" s="2">
        <v>13</v>
      </c>
      <c r="BT31" s="2">
        <v>55</v>
      </c>
      <c r="BU31" s="2">
        <v>40</v>
      </c>
      <c r="BV31" s="2">
        <v>16</v>
      </c>
      <c r="BW31" s="2">
        <v>14</v>
      </c>
      <c r="BX31" s="2">
        <v>22</v>
      </c>
    </row>
    <row r="32" spans="1:76" x14ac:dyDescent="0.25">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0" t="s">
        <v>53</v>
      </c>
      <c r="AZ32" s="28">
        <f t="shared" si="16"/>
        <v>2.4111648108326767E-2</v>
      </c>
      <c r="BA32" s="28">
        <f t="shared" si="17"/>
        <v>1.8691588785046728E-2</v>
      </c>
      <c r="BB32" s="28">
        <f t="shared" si="18"/>
        <v>3.9636622005684123E-2</v>
      </c>
      <c r="BC32" s="28">
        <f t="shared" si="19"/>
        <v>2.4359316604378005E-2</v>
      </c>
      <c r="BD32" s="28">
        <f t="shared" si="20"/>
        <v>1.4031068795189347E-2</v>
      </c>
      <c r="BE32" s="28">
        <f t="shared" si="21"/>
        <v>4.4732721986132859E-3</v>
      </c>
      <c r="BF32" s="28">
        <f t="shared" si="22"/>
        <v>2.7559456976625499E-2</v>
      </c>
      <c r="BG32" s="28">
        <f t="shared" si="23"/>
        <v>2.8528149457207774E-2</v>
      </c>
      <c r="BH32" s="28"/>
      <c r="BK32" s="19" t="s">
        <v>90</v>
      </c>
      <c r="BL32" s="2">
        <v>2</v>
      </c>
      <c r="BM32" s="2">
        <v>1</v>
      </c>
      <c r="BN32" s="2">
        <v>2</v>
      </c>
      <c r="BO32" s="2">
        <v>7</v>
      </c>
      <c r="BP32" s="2">
        <v>0</v>
      </c>
      <c r="BQ32" s="2">
        <v>4</v>
      </c>
      <c r="BR32" s="2">
        <v>2</v>
      </c>
      <c r="BS32" s="2">
        <v>0</v>
      </c>
      <c r="BT32" s="2">
        <v>2</v>
      </c>
      <c r="BU32" s="2">
        <v>0</v>
      </c>
      <c r="BV32" s="2">
        <v>3</v>
      </c>
      <c r="BW32" s="2">
        <v>1</v>
      </c>
      <c r="BX32" s="2">
        <v>3</v>
      </c>
    </row>
    <row r="33" spans="23:76" x14ac:dyDescent="0.25">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0" t="s">
        <v>54</v>
      </c>
      <c r="AZ33" s="28">
        <f t="shared" si="16"/>
        <v>2.2643106549571475E-2</v>
      </c>
      <c r="BA33" s="28">
        <f t="shared" si="17"/>
        <v>1.8159048215403883E-2</v>
      </c>
      <c r="BB33" s="28">
        <f t="shared" si="18"/>
        <v>3.9151061173533085E-2</v>
      </c>
      <c r="BC33" s="28">
        <f t="shared" si="19"/>
        <v>2.7763226820324779E-2</v>
      </c>
      <c r="BD33" s="28">
        <f t="shared" si="20"/>
        <v>1.3378878451465983E-2</v>
      </c>
      <c r="BE33" s="28">
        <f t="shared" si="21"/>
        <v>3.5971223021582736E-3</v>
      </c>
      <c r="BF33" s="28">
        <f t="shared" si="22"/>
        <v>2.5289884046381446E-2</v>
      </c>
      <c r="BG33" s="28">
        <f t="shared" si="23"/>
        <v>1.6655450874831765E-2</v>
      </c>
      <c r="BH33" s="28"/>
      <c r="BK33" s="19" t="s">
        <v>91</v>
      </c>
      <c r="BL33" s="2">
        <v>1</v>
      </c>
      <c r="BM33" s="2">
        <v>5</v>
      </c>
      <c r="BN33" s="2">
        <v>7</v>
      </c>
      <c r="BO33" s="2">
        <v>3</v>
      </c>
      <c r="BP33" s="2">
        <v>6</v>
      </c>
      <c r="BQ33" s="2">
        <v>3</v>
      </c>
      <c r="BR33" s="2">
        <v>9</v>
      </c>
      <c r="BS33" s="2">
        <v>2</v>
      </c>
      <c r="BT33" s="2">
        <v>9</v>
      </c>
      <c r="BU33" s="2">
        <v>6</v>
      </c>
      <c r="BV33" s="2">
        <v>14</v>
      </c>
      <c r="BW33" s="2">
        <v>3</v>
      </c>
      <c r="BX33" s="2">
        <v>7</v>
      </c>
    </row>
    <row r="34" spans="23:76" x14ac:dyDescent="0.25">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0" t="s">
        <v>55</v>
      </c>
      <c r="AZ34" s="28">
        <f t="shared" si="16"/>
        <v>2.096263457884737E-2</v>
      </c>
      <c r="BA34" s="28">
        <f t="shared" si="17"/>
        <v>1.1187491575684055E-2</v>
      </c>
      <c r="BB34" s="28">
        <f t="shared" si="18"/>
        <v>2.6738778811160532E-2</v>
      </c>
      <c r="BC34" s="28">
        <f t="shared" si="19"/>
        <v>2.6417315111488916E-2</v>
      </c>
      <c r="BD34" s="28">
        <f t="shared" si="20"/>
        <v>1.7875308821392238E-2</v>
      </c>
      <c r="BE34" s="28">
        <f t="shared" si="21"/>
        <v>6.7818858017939182E-3</v>
      </c>
      <c r="BF34" s="28">
        <f t="shared" si="22"/>
        <v>3.4169025475131419E-2</v>
      </c>
      <c r="BG34" s="28">
        <f t="shared" si="23"/>
        <v>2.0034915620583588E-2</v>
      </c>
      <c r="BH34" s="28"/>
      <c r="BK34" s="19" t="s">
        <v>92</v>
      </c>
      <c r="BL34" s="2">
        <v>27</v>
      </c>
      <c r="BM34" s="2">
        <v>2</v>
      </c>
      <c r="BN34" s="2">
        <v>0</v>
      </c>
      <c r="BO34" s="2">
        <v>2</v>
      </c>
      <c r="BP34" s="2">
        <v>1</v>
      </c>
      <c r="BQ34" s="2">
        <v>6</v>
      </c>
      <c r="BR34" s="2">
        <v>18</v>
      </c>
      <c r="BS34" s="2">
        <v>4</v>
      </c>
      <c r="BT34" s="2">
        <v>13</v>
      </c>
      <c r="BU34" s="2">
        <v>0</v>
      </c>
      <c r="BV34" s="2">
        <v>3</v>
      </c>
      <c r="BW34" s="2">
        <v>0</v>
      </c>
      <c r="BX34" s="2">
        <v>0</v>
      </c>
    </row>
    <row r="35" spans="23:76" x14ac:dyDescent="0.25">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0" t="s">
        <v>56</v>
      </c>
      <c r="AZ35" s="28">
        <f t="shared" si="16"/>
        <v>2.56727102286043E-2</v>
      </c>
      <c r="BA35" s="28">
        <f t="shared" si="17"/>
        <v>1.2173913043478261E-2</v>
      </c>
      <c r="BB35" s="28">
        <f t="shared" si="18"/>
        <v>4.3128176739972823E-2</v>
      </c>
      <c r="BC35" s="28">
        <f t="shared" si="19"/>
        <v>2.3836398645508267E-2</v>
      </c>
      <c r="BD35" s="28">
        <f t="shared" si="20"/>
        <v>1.3705583756345178E-2</v>
      </c>
      <c r="BE35" s="28">
        <f t="shared" si="21"/>
        <v>1.1534276387377584E-2</v>
      </c>
      <c r="BF35" s="28">
        <f t="shared" si="22"/>
        <v>4.5500608025942441E-2</v>
      </c>
      <c r="BG35" s="28">
        <f t="shared" si="23"/>
        <v>2.4048815506101939E-2</v>
      </c>
      <c r="BH35" s="28"/>
      <c r="BK35" s="19" t="s">
        <v>288</v>
      </c>
      <c r="BL35" s="2">
        <v>12</v>
      </c>
      <c r="BM35" s="2">
        <v>4</v>
      </c>
      <c r="BN35" s="2">
        <v>11</v>
      </c>
      <c r="BO35" s="2">
        <v>55</v>
      </c>
      <c r="BP35" s="2">
        <v>18</v>
      </c>
      <c r="BQ35" s="2">
        <v>39</v>
      </c>
      <c r="BR35" s="2">
        <v>57</v>
      </c>
      <c r="BS35" s="2">
        <v>32</v>
      </c>
      <c r="BT35" s="2">
        <v>98</v>
      </c>
      <c r="BU35" s="2">
        <v>76</v>
      </c>
      <c r="BV35" s="2">
        <v>19</v>
      </c>
      <c r="BW35" s="2">
        <v>30</v>
      </c>
      <c r="BX35" s="2">
        <v>93</v>
      </c>
    </row>
    <row r="36" spans="23:76" x14ac:dyDescent="0.25">
      <c r="AY36" s="20"/>
      <c r="AZ36" s="28"/>
      <c r="BA36" s="28"/>
      <c r="BB36" s="28"/>
      <c r="BC36" s="28"/>
      <c r="BD36" s="28"/>
      <c r="BE36" s="28"/>
      <c r="BF36" s="28"/>
      <c r="BG36" s="28"/>
      <c r="BH36" s="28"/>
      <c r="BK36" s="19" t="s">
        <v>93</v>
      </c>
      <c r="BL36" s="2">
        <v>0</v>
      </c>
      <c r="BM36" s="2">
        <v>8</v>
      </c>
      <c r="BN36" s="2">
        <v>11</v>
      </c>
      <c r="BO36" s="2">
        <v>4</v>
      </c>
      <c r="BP36" s="2">
        <v>0</v>
      </c>
      <c r="BQ36" s="2">
        <v>4</v>
      </c>
      <c r="BR36" s="2">
        <v>14</v>
      </c>
      <c r="BS36" s="2">
        <v>13</v>
      </c>
      <c r="BT36" s="2">
        <v>12</v>
      </c>
      <c r="BU36" s="2">
        <v>0</v>
      </c>
      <c r="BV36" s="2">
        <v>1</v>
      </c>
      <c r="BW36" s="2">
        <v>5</v>
      </c>
      <c r="BX36" s="2">
        <v>11</v>
      </c>
    </row>
    <row r="37" spans="23:76" x14ac:dyDescent="0.25">
      <c r="BG37" s="28"/>
      <c r="BK37" s="19" t="s">
        <v>94</v>
      </c>
      <c r="BL37" s="2">
        <v>6</v>
      </c>
      <c r="BM37" s="2">
        <v>4</v>
      </c>
      <c r="BN37" s="2">
        <v>20</v>
      </c>
      <c r="BO37" s="2">
        <v>13</v>
      </c>
      <c r="BP37" s="2">
        <v>4</v>
      </c>
      <c r="BQ37" s="2">
        <v>5</v>
      </c>
      <c r="BR37" s="2">
        <v>9</v>
      </c>
      <c r="BS37" s="2">
        <v>24</v>
      </c>
      <c r="BT37" s="2">
        <v>33</v>
      </c>
      <c r="BU37" s="2">
        <v>11</v>
      </c>
      <c r="BV37" s="2">
        <v>9</v>
      </c>
      <c r="BW37" s="2">
        <v>15</v>
      </c>
      <c r="BX37" s="2">
        <v>18</v>
      </c>
    </row>
    <row r="38" spans="23:76" x14ac:dyDescent="0.25">
      <c r="BK38" s="19" t="s">
        <v>95</v>
      </c>
      <c r="BL38" s="2">
        <v>0</v>
      </c>
      <c r="BM38" s="2">
        <v>2</v>
      </c>
      <c r="BN38" s="2">
        <v>0</v>
      </c>
      <c r="BO38" s="2">
        <v>0</v>
      </c>
      <c r="BP38" s="2">
        <v>0</v>
      </c>
      <c r="BQ38" s="2">
        <v>3</v>
      </c>
      <c r="BR38" s="2">
        <v>1</v>
      </c>
      <c r="BS38" s="2">
        <v>6</v>
      </c>
      <c r="BT38" s="2">
        <v>5</v>
      </c>
      <c r="BU38" s="2">
        <v>3</v>
      </c>
      <c r="BV38" s="2">
        <v>2</v>
      </c>
      <c r="BW38" s="2">
        <v>0</v>
      </c>
      <c r="BX38" s="2">
        <v>0</v>
      </c>
    </row>
    <row r="39" spans="23:76" x14ac:dyDescent="0.25">
      <c r="BK39" s="19" t="s">
        <v>96</v>
      </c>
      <c r="BL39" s="2">
        <v>7</v>
      </c>
      <c r="BM39" s="2">
        <v>0</v>
      </c>
      <c r="BN39" s="2">
        <v>7</v>
      </c>
      <c r="BO39" s="2">
        <v>0</v>
      </c>
      <c r="BP39" s="2">
        <v>16</v>
      </c>
      <c r="BQ39" s="2">
        <v>13</v>
      </c>
      <c r="BR39" s="2">
        <v>9</v>
      </c>
      <c r="BS39" s="2">
        <v>7</v>
      </c>
      <c r="BT39" s="2">
        <v>23</v>
      </c>
      <c r="BU39" s="2">
        <v>31</v>
      </c>
      <c r="BV39" s="2">
        <v>11</v>
      </c>
      <c r="BW39" s="2">
        <v>2</v>
      </c>
      <c r="BX39" s="2">
        <v>5</v>
      </c>
    </row>
    <row r="40" spans="23:76" x14ac:dyDescent="0.25">
      <c r="BK40" s="19" t="s">
        <v>97</v>
      </c>
      <c r="BL40" s="2">
        <v>5</v>
      </c>
      <c r="BM40" s="2">
        <v>1</v>
      </c>
      <c r="BN40" s="2">
        <v>7</v>
      </c>
      <c r="BO40" s="2">
        <v>15</v>
      </c>
      <c r="BP40" s="2">
        <v>2</v>
      </c>
      <c r="BQ40" s="2">
        <v>12</v>
      </c>
      <c r="BR40" s="2">
        <v>39</v>
      </c>
      <c r="BS40" s="2">
        <v>17</v>
      </c>
      <c r="BT40" s="2">
        <v>14</v>
      </c>
      <c r="BU40" s="2">
        <v>8</v>
      </c>
      <c r="BV40" s="2">
        <v>1</v>
      </c>
      <c r="BW40" s="2">
        <v>0</v>
      </c>
      <c r="BX40" s="2">
        <v>6</v>
      </c>
    </row>
    <row r="41" spans="23:76" x14ac:dyDescent="0.25">
      <c r="BK41" s="19" t="s">
        <v>98</v>
      </c>
      <c r="BL41" s="2">
        <v>1</v>
      </c>
      <c r="BM41" s="2">
        <v>2</v>
      </c>
      <c r="BN41" s="2">
        <v>0</v>
      </c>
      <c r="BO41" s="2">
        <v>3</v>
      </c>
      <c r="BP41" s="2">
        <v>4</v>
      </c>
      <c r="BQ41" s="2">
        <v>6</v>
      </c>
      <c r="BR41" s="2">
        <v>9</v>
      </c>
      <c r="BS41" s="2">
        <v>1</v>
      </c>
      <c r="BT41" s="2">
        <v>9</v>
      </c>
      <c r="BU41" s="2">
        <v>3</v>
      </c>
      <c r="BV41" s="2">
        <v>4</v>
      </c>
      <c r="BW41" s="2">
        <v>2</v>
      </c>
      <c r="BX41" s="2">
        <v>0</v>
      </c>
    </row>
    <row r="42" spans="23:76" x14ac:dyDescent="0.25">
      <c r="BK42" s="19" t="s">
        <v>99</v>
      </c>
      <c r="BL42" s="2">
        <v>3</v>
      </c>
      <c r="BM42" s="2">
        <v>2</v>
      </c>
      <c r="BN42" s="2">
        <v>1</v>
      </c>
      <c r="BO42" s="2">
        <v>5</v>
      </c>
      <c r="BP42" s="2">
        <v>33</v>
      </c>
      <c r="BQ42" s="2">
        <v>14</v>
      </c>
      <c r="BR42" s="2">
        <v>10</v>
      </c>
      <c r="BS42" s="2">
        <v>9</v>
      </c>
      <c r="BT42" s="2">
        <v>13</v>
      </c>
      <c r="BU42" s="2">
        <v>13</v>
      </c>
      <c r="BV42" s="2">
        <v>6</v>
      </c>
      <c r="BW42" s="2">
        <v>15</v>
      </c>
      <c r="BX42" s="2">
        <v>35</v>
      </c>
    </row>
    <row r="43" spans="23:76" x14ac:dyDescent="0.25">
      <c r="BK43" s="19" t="s">
        <v>100</v>
      </c>
      <c r="BL43" s="2">
        <v>1</v>
      </c>
      <c r="BM43" s="2">
        <v>1</v>
      </c>
      <c r="BN43" s="2">
        <v>0</v>
      </c>
      <c r="BO43" s="2">
        <v>0</v>
      </c>
      <c r="BP43" s="2">
        <v>0</v>
      </c>
      <c r="BQ43" s="2">
        <v>0</v>
      </c>
      <c r="BR43" s="2">
        <v>0</v>
      </c>
      <c r="BS43" s="2">
        <v>0</v>
      </c>
      <c r="BT43" s="2">
        <v>0</v>
      </c>
      <c r="BU43" s="2">
        <v>0</v>
      </c>
      <c r="BV43" s="2">
        <v>0</v>
      </c>
      <c r="BW43" s="2">
        <v>0</v>
      </c>
      <c r="BX43" s="2">
        <v>0</v>
      </c>
    </row>
    <row r="44" spans="23:76" x14ac:dyDescent="0.25">
      <c r="BK44" s="19" t="s">
        <v>101</v>
      </c>
      <c r="BL44" s="2">
        <v>11</v>
      </c>
      <c r="BM44" s="2">
        <v>7</v>
      </c>
      <c r="BN44" s="2">
        <v>6</v>
      </c>
      <c r="BO44" s="2">
        <v>5</v>
      </c>
      <c r="BP44" s="2">
        <v>12</v>
      </c>
      <c r="BQ44" s="2">
        <v>14</v>
      </c>
      <c r="BR44" s="2">
        <v>11</v>
      </c>
      <c r="BS44" s="2">
        <v>1</v>
      </c>
      <c r="BT44" s="2">
        <v>11</v>
      </c>
      <c r="BU44" s="2">
        <v>21</v>
      </c>
      <c r="BV44" s="2">
        <v>15</v>
      </c>
      <c r="BW44" s="2">
        <v>12</v>
      </c>
      <c r="BX44" s="2">
        <v>17</v>
      </c>
    </row>
    <row r="45" spans="23:76" x14ac:dyDescent="0.25">
      <c r="BK45" s="19" t="s">
        <v>102</v>
      </c>
      <c r="BL45" s="2">
        <v>3</v>
      </c>
      <c r="BM45" s="2">
        <v>0</v>
      </c>
      <c r="BN45" s="2">
        <v>0</v>
      </c>
      <c r="BO45" s="2">
        <v>1</v>
      </c>
      <c r="BP45" s="2">
        <v>0</v>
      </c>
      <c r="BQ45" s="2">
        <v>1</v>
      </c>
      <c r="BR45" s="2">
        <v>4</v>
      </c>
      <c r="BS45" s="2">
        <v>1</v>
      </c>
      <c r="BT45" s="2">
        <v>1</v>
      </c>
      <c r="BU45" s="2">
        <v>1</v>
      </c>
      <c r="BV45" s="2">
        <v>0</v>
      </c>
      <c r="BW45" s="2">
        <v>0</v>
      </c>
      <c r="BX45" s="2">
        <v>0</v>
      </c>
    </row>
    <row r="46" spans="23:76" x14ac:dyDescent="0.25">
      <c r="BK46" s="19" t="s">
        <v>103</v>
      </c>
      <c r="BL46" s="2">
        <v>0</v>
      </c>
      <c r="BM46" s="2">
        <v>0</v>
      </c>
      <c r="BN46" s="2">
        <v>0</v>
      </c>
      <c r="BO46" s="2">
        <v>0</v>
      </c>
      <c r="BP46" s="2">
        <v>0</v>
      </c>
      <c r="BQ46" s="2">
        <v>0</v>
      </c>
      <c r="BR46" s="2">
        <v>0</v>
      </c>
      <c r="BS46" s="2">
        <v>0</v>
      </c>
      <c r="BT46" s="2">
        <v>0</v>
      </c>
      <c r="BU46" s="2">
        <v>0</v>
      </c>
      <c r="BV46" s="2">
        <v>0</v>
      </c>
      <c r="BW46" s="2">
        <v>0</v>
      </c>
      <c r="BX46" s="2">
        <v>0</v>
      </c>
    </row>
    <row r="47" spans="23:76" x14ac:dyDescent="0.25">
      <c r="BK47" s="19" t="s">
        <v>289</v>
      </c>
      <c r="BL47" s="2">
        <v>128</v>
      </c>
      <c r="BM47" s="2">
        <v>34</v>
      </c>
      <c r="BN47" s="2">
        <v>99</v>
      </c>
      <c r="BO47" s="2">
        <v>130</v>
      </c>
      <c r="BP47" s="2">
        <v>109</v>
      </c>
      <c r="BQ47" s="2">
        <v>296</v>
      </c>
      <c r="BR47" s="2">
        <v>167</v>
      </c>
      <c r="BS47" s="2">
        <v>167</v>
      </c>
      <c r="BT47" s="2">
        <v>204</v>
      </c>
      <c r="BU47" s="2">
        <v>142</v>
      </c>
      <c r="BV47" s="2">
        <v>124</v>
      </c>
      <c r="BW47" s="2">
        <v>74</v>
      </c>
      <c r="BX47" s="2">
        <v>112</v>
      </c>
    </row>
    <row r="48" spans="23:76" x14ac:dyDescent="0.25">
      <c r="BK48" s="19" t="s">
        <v>104</v>
      </c>
      <c r="BL48" s="2">
        <v>0</v>
      </c>
      <c r="BM48" s="2">
        <v>0</v>
      </c>
      <c r="BN48" s="2">
        <v>0</v>
      </c>
      <c r="BO48" s="2">
        <v>0</v>
      </c>
      <c r="BP48" s="2">
        <v>0</v>
      </c>
      <c r="BQ48" s="2">
        <v>0</v>
      </c>
      <c r="BR48" s="2">
        <v>0</v>
      </c>
      <c r="BS48" s="2">
        <v>0</v>
      </c>
      <c r="BT48" s="2">
        <v>0</v>
      </c>
      <c r="BU48" s="2">
        <v>0</v>
      </c>
      <c r="BV48" s="2">
        <v>0</v>
      </c>
      <c r="BW48" s="2">
        <v>0</v>
      </c>
      <c r="BX48" s="2">
        <v>0</v>
      </c>
    </row>
    <row r="49" spans="63:76" x14ac:dyDescent="0.25">
      <c r="BK49" s="19" t="s">
        <v>105</v>
      </c>
      <c r="BL49" s="2">
        <v>0</v>
      </c>
      <c r="BM49" s="2">
        <v>0</v>
      </c>
      <c r="BN49" s="2">
        <v>0</v>
      </c>
      <c r="BO49" s="2">
        <v>0</v>
      </c>
      <c r="BP49" s="2">
        <v>0</v>
      </c>
      <c r="BQ49" s="2">
        <v>0</v>
      </c>
      <c r="BR49" s="2">
        <v>0</v>
      </c>
      <c r="BS49" s="2">
        <v>0</v>
      </c>
      <c r="BT49" s="2">
        <v>0</v>
      </c>
      <c r="BU49" s="2">
        <v>0</v>
      </c>
      <c r="BV49" s="2">
        <v>0</v>
      </c>
      <c r="BW49" s="2">
        <v>0</v>
      </c>
      <c r="BX49" s="2">
        <v>0</v>
      </c>
    </row>
    <row r="50" spans="63:76" x14ac:dyDescent="0.25">
      <c r="BK50" s="19" t="s">
        <v>106</v>
      </c>
      <c r="BL50" s="2">
        <v>17</v>
      </c>
      <c r="BM50" s="2">
        <v>3</v>
      </c>
      <c r="BN50" s="2">
        <v>17</v>
      </c>
      <c r="BO50" s="2">
        <v>24</v>
      </c>
      <c r="BP50" s="2">
        <v>50</v>
      </c>
      <c r="BQ50" s="2">
        <v>18</v>
      </c>
      <c r="BR50" s="2">
        <v>20</v>
      </c>
      <c r="BS50" s="2">
        <v>13</v>
      </c>
      <c r="BT50" s="2">
        <v>22</v>
      </c>
      <c r="BU50" s="2">
        <v>52</v>
      </c>
      <c r="BV50" s="2">
        <v>2</v>
      </c>
      <c r="BW50" s="2">
        <v>4</v>
      </c>
      <c r="BX50" s="2">
        <v>19</v>
      </c>
    </row>
    <row r="51" spans="63:76" x14ac:dyDescent="0.25">
      <c r="BK51" s="19" t="s">
        <v>107</v>
      </c>
      <c r="BL51" s="2">
        <v>79</v>
      </c>
      <c r="BM51" s="2">
        <v>114</v>
      </c>
      <c r="BN51" s="2">
        <v>79</v>
      </c>
      <c r="BO51" s="2">
        <v>71</v>
      </c>
      <c r="BP51" s="2">
        <v>62</v>
      </c>
      <c r="BQ51" s="2">
        <v>118</v>
      </c>
      <c r="BR51" s="2">
        <v>135</v>
      </c>
      <c r="BS51" s="2">
        <v>123</v>
      </c>
      <c r="BT51" s="2">
        <v>166</v>
      </c>
      <c r="BU51" s="2">
        <v>141</v>
      </c>
      <c r="BV51" s="2">
        <v>37</v>
      </c>
      <c r="BW51" s="2">
        <v>49</v>
      </c>
      <c r="BX51" s="2">
        <v>49</v>
      </c>
    </row>
    <row r="52" spans="63:76" x14ac:dyDescent="0.25">
      <c r="BK52" s="19" t="s">
        <v>108</v>
      </c>
      <c r="BL52" s="2">
        <v>78</v>
      </c>
      <c r="BM52" s="2">
        <v>36</v>
      </c>
      <c r="BN52" s="2">
        <v>40</v>
      </c>
      <c r="BO52" s="2">
        <v>22</v>
      </c>
      <c r="BP52" s="2">
        <v>20</v>
      </c>
      <c r="BQ52" s="2">
        <v>36</v>
      </c>
      <c r="BR52" s="2">
        <v>47</v>
      </c>
      <c r="BS52" s="2">
        <v>44</v>
      </c>
      <c r="BT52" s="2">
        <v>84</v>
      </c>
      <c r="BU52" s="2">
        <v>75</v>
      </c>
      <c r="BV52" s="2">
        <v>27</v>
      </c>
      <c r="BW52" s="2">
        <v>20</v>
      </c>
      <c r="BX52" s="2">
        <v>44</v>
      </c>
    </row>
    <row r="53" spans="63:76" x14ac:dyDescent="0.25">
      <c r="BK53" s="19" t="s">
        <v>109</v>
      </c>
      <c r="BL53" s="2">
        <v>0</v>
      </c>
      <c r="BM53" s="2">
        <v>1</v>
      </c>
      <c r="BN53" s="2">
        <v>1</v>
      </c>
      <c r="BO53" s="2">
        <v>0</v>
      </c>
      <c r="BP53" s="2">
        <v>1</v>
      </c>
      <c r="BQ53" s="2">
        <v>0</v>
      </c>
      <c r="BR53" s="2">
        <v>0</v>
      </c>
      <c r="BS53" s="2">
        <v>1</v>
      </c>
      <c r="BT53" s="2">
        <v>0</v>
      </c>
      <c r="BU53" s="2">
        <v>0</v>
      </c>
      <c r="BV53" s="2">
        <v>0</v>
      </c>
      <c r="BW53" s="2">
        <v>0</v>
      </c>
      <c r="BX53" s="2">
        <v>4</v>
      </c>
    </row>
    <row r="54" spans="63:76" x14ac:dyDescent="0.25">
      <c r="BK54" s="19" t="s">
        <v>110</v>
      </c>
      <c r="BL54" s="2">
        <v>3</v>
      </c>
      <c r="BM54" s="2">
        <v>4</v>
      </c>
      <c r="BN54" s="2">
        <v>1</v>
      </c>
      <c r="BO54" s="2">
        <v>6</v>
      </c>
      <c r="BP54" s="2">
        <v>10</v>
      </c>
      <c r="BQ54" s="2">
        <v>6</v>
      </c>
      <c r="BR54" s="2">
        <v>23</v>
      </c>
      <c r="BS54" s="2">
        <v>13</v>
      </c>
      <c r="BT54" s="2">
        <v>4</v>
      </c>
      <c r="BU54" s="2">
        <v>9</v>
      </c>
      <c r="BV54" s="2">
        <v>1</v>
      </c>
      <c r="BW54" s="2">
        <v>4</v>
      </c>
      <c r="BX54" s="2">
        <v>8</v>
      </c>
    </row>
    <row r="55" spans="63:76" x14ac:dyDescent="0.25">
      <c r="BK55" s="19" t="s">
        <v>111</v>
      </c>
      <c r="BL55" s="2">
        <v>0</v>
      </c>
      <c r="BM55" s="2">
        <v>3</v>
      </c>
      <c r="BN55" s="2">
        <v>0</v>
      </c>
      <c r="BO55" s="2">
        <v>1</v>
      </c>
      <c r="BP55" s="2">
        <v>1</v>
      </c>
      <c r="BQ55" s="2">
        <v>1</v>
      </c>
      <c r="BR55" s="2">
        <v>7</v>
      </c>
      <c r="BS55" s="2">
        <v>0</v>
      </c>
      <c r="BT55" s="2">
        <v>0</v>
      </c>
      <c r="BU55" s="2">
        <v>1</v>
      </c>
      <c r="BV55" s="2">
        <v>0</v>
      </c>
      <c r="BW55" s="2">
        <v>1</v>
      </c>
      <c r="BX55" s="2">
        <v>2</v>
      </c>
    </row>
    <row r="56" spans="63:76" x14ac:dyDescent="0.25">
      <c r="BK56" s="19" t="s">
        <v>112</v>
      </c>
      <c r="BL56" s="2">
        <v>20</v>
      </c>
      <c r="BM56" s="2">
        <v>14</v>
      </c>
      <c r="BN56" s="2">
        <v>10</v>
      </c>
      <c r="BO56" s="2">
        <v>19</v>
      </c>
      <c r="BP56" s="2">
        <v>15</v>
      </c>
      <c r="BQ56" s="2">
        <v>42</v>
      </c>
      <c r="BR56" s="2">
        <v>32</v>
      </c>
      <c r="BS56" s="2">
        <v>31</v>
      </c>
      <c r="BT56" s="2">
        <v>52</v>
      </c>
      <c r="BU56" s="2">
        <v>39</v>
      </c>
      <c r="BV56" s="2">
        <v>18</v>
      </c>
      <c r="BW56" s="2">
        <v>20</v>
      </c>
      <c r="BX56" s="2">
        <v>25</v>
      </c>
    </row>
    <row r="57" spans="63:76" x14ac:dyDescent="0.25">
      <c r="BK57" s="19" t="s">
        <v>290</v>
      </c>
      <c r="BL57" s="2">
        <v>57</v>
      </c>
      <c r="BM57" s="2">
        <v>36</v>
      </c>
      <c r="BN57" s="2">
        <v>14</v>
      </c>
      <c r="BO57" s="2">
        <v>21</v>
      </c>
      <c r="BP57" s="2">
        <v>18</v>
      </c>
      <c r="BQ57" s="2">
        <v>125</v>
      </c>
      <c r="BR57" s="2">
        <v>119</v>
      </c>
      <c r="BS57" s="2">
        <v>25</v>
      </c>
      <c r="BT57" s="2">
        <v>76</v>
      </c>
      <c r="BU57" s="2">
        <v>49</v>
      </c>
      <c r="BV57" s="2">
        <v>45</v>
      </c>
      <c r="BW57" s="2">
        <v>33</v>
      </c>
      <c r="BX57" s="2">
        <v>51</v>
      </c>
    </row>
    <row r="58" spans="63:76" x14ac:dyDescent="0.25">
      <c r="BK58" s="19" t="s">
        <v>235</v>
      </c>
      <c r="BL58" s="2">
        <v>72</v>
      </c>
      <c r="BM58" s="2">
        <v>80</v>
      </c>
      <c r="BN58" s="2">
        <v>32</v>
      </c>
      <c r="BO58" s="2">
        <v>9</v>
      </c>
      <c r="BP58" s="2">
        <v>26</v>
      </c>
      <c r="BQ58" s="2">
        <v>78</v>
      </c>
      <c r="BR58" s="2">
        <v>107</v>
      </c>
      <c r="BS58" s="2">
        <v>59</v>
      </c>
      <c r="BT58" s="2">
        <v>97</v>
      </c>
      <c r="BU58" s="2">
        <v>100</v>
      </c>
      <c r="BV58" s="2">
        <v>17</v>
      </c>
      <c r="BW58" s="2">
        <v>43</v>
      </c>
      <c r="BX58" s="2">
        <v>40</v>
      </c>
    </row>
    <row r="59" spans="63:76" x14ac:dyDescent="0.25">
      <c r="BK59" s="19" t="s">
        <v>113</v>
      </c>
      <c r="BL59" s="2">
        <v>11</v>
      </c>
      <c r="BM59" s="2">
        <v>10</v>
      </c>
      <c r="BN59" s="2">
        <v>1</v>
      </c>
      <c r="BO59" s="2">
        <v>6</v>
      </c>
      <c r="BP59" s="2">
        <v>14</v>
      </c>
      <c r="BQ59" s="2">
        <v>18</v>
      </c>
      <c r="BR59" s="2">
        <v>25</v>
      </c>
      <c r="BS59" s="2">
        <v>10</v>
      </c>
      <c r="BT59" s="2">
        <v>31</v>
      </c>
      <c r="BU59" s="2">
        <v>6</v>
      </c>
      <c r="BV59" s="2">
        <v>17</v>
      </c>
      <c r="BW59" s="2">
        <v>20</v>
      </c>
      <c r="BX59" s="2">
        <v>9</v>
      </c>
    </row>
    <row r="60" spans="63:76" x14ac:dyDescent="0.25">
      <c r="BK60" s="19" t="s">
        <v>114</v>
      </c>
      <c r="BL60" s="2">
        <v>6</v>
      </c>
      <c r="BM60" s="2">
        <v>5</v>
      </c>
      <c r="BN60" s="2">
        <v>7</v>
      </c>
      <c r="BO60" s="2">
        <v>4</v>
      </c>
      <c r="BP60" s="2">
        <v>3</v>
      </c>
      <c r="BQ60" s="2">
        <v>3</v>
      </c>
      <c r="BR60" s="2">
        <v>40</v>
      </c>
      <c r="BS60" s="2">
        <v>13</v>
      </c>
      <c r="BT60" s="2">
        <v>8</v>
      </c>
      <c r="BU60" s="2">
        <v>3</v>
      </c>
      <c r="BV60" s="2">
        <v>2</v>
      </c>
      <c r="BW60" s="2">
        <v>3</v>
      </c>
      <c r="BX60" s="2">
        <v>6</v>
      </c>
    </row>
    <row r="61" spans="63:76" x14ac:dyDescent="0.25">
      <c r="BK61" s="19" t="s">
        <v>115</v>
      </c>
      <c r="BL61" s="2">
        <v>57</v>
      </c>
      <c r="BM61" s="2">
        <v>27</v>
      </c>
      <c r="BN61" s="2">
        <v>26</v>
      </c>
      <c r="BO61" s="2">
        <v>13</v>
      </c>
      <c r="BP61" s="2">
        <v>30</v>
      </c>
      <c r="BQ61" s="2">
        <v>92</v>
      </c>
      <c r="BR61" s="2">
        <v>72</v>
      </c>
      <c r="BS61" s="2">
        <v>44</v>
      </c>
      <c r="BT61" s="2">
        <v>37</v>
      </c>
      <c r="BU61" s="2">
        <v>35</v>
      </c>
      <c r="BV61" s="2">
        <v>40</v>
      </c>
      <c r="BW61" s="2">
        <v>15</v>
      </c>
      <c r="BX61" s="2">
        <v>61</v>
      </c>
    </row>
    <row r="62" spans="63:76" x14ac:dyDescent="0.25">
      <c r="BK62" s="19" t="s">
        <v>116</v>
      </c>
      <c r="BL62" s="2">
        <v>42</v>
      </c>
      <c r="BM62" s="2">
        <v>3</v>
      </c>
      <c r="BN62" s="2">
        <v>8</v>
      </c>
      <c r="BO62" s="2">
        <v>21</v>
      </c>
      <c r="BP62" s="2">
        <v>12</v>
      </c>
      <c r="BQ62" s="2">
        <v>31</v>
      </c>
      <c r="BR62" s="2">
        <v>29</v>
      </c>
      <c r="BS62" s="2">
        <v>32</v>
      </c>
      <c r="BT62" s="2">
        <v>44</v>
      </c>
      <c r="BU62" s="2">
        <v>38</v>
      </c>
      <c r="BV62" s="2">
        <v>16</v>
      </c>
      <c r="BW62" s="2">
        <v>2</v>
      </c>
      <c r="BX62" s="2">
        <v>10</v>
      </c>
    </row>
    <row r="63" spans="63:76" x14ac:dyDescent="0.25">
      <c r="BK63" s="19" t="s">
        <v>117</v>
      </c>
      <c r="BL63" s="2">
        <v>4</v>
      </c>
      <c r="BM63" s="2">
        <v>0</v>
      </c>
      <c r="BN63" s="2">
        <v>1</v>
      </c>
      <c r="BO63" s="2">
        <v>1</v>
      </c>
      <c r="BP63" s="2">
        <v>1</v>
      </c>
      <c r="BQ63" s="2">
        <v>11</v>
      </c>
      <c r="BR63" s="2">
        <v>3</v>
      </c>
      <c r="BS63" s="2">
        <v>4</v>
      </c>
      <c r="BT63" s="2">
        <v>7</v>
      </c>
      <c r="BU63" s="2">
        <v>0</v>
      </c>
      <c r="BV63" s="2">
        <v>0</v>
      </c>
      <c r="BW63" s="2">
        <v>0</v>
      </c>
      <c r="BX63" s="2">
        <v>4</v>
      </c>
    </row>
    <row r="64" spans="63:76" x14ac:dyDescent="0.25">
      <c r="BK64" s="19" t="s">
        <v>118</v>
      </c>
      <c r="BL64" s="2">
        <v>32</v>
      </c>
      <c r="BM64" s="2">
        <v>17</v>
      </c>
      <c r="BN64" s="2">
        <v>0</v>
      </c>
      <c r="BO64" s="2">
        <v>56</v>
      </c>
      <c r="BP64" s="2">
        <v>8</v>
      </c>
      <c r="BQ64" s="2">
        <v>30</v>
      </c>
      <c r="BR64" s="2">
        <v>106</v>
      </c>
      <c r="BS64" s="2">
        <v>28</v>
      </c>
      <c r="BT64" s="2">
        <v>54</v>
      </c>
      <c r="BU64" s="2">
        <v>121</v>
      </c>
      <c r="BV64" s="2">
        <v>56</v>
      </c>
      <c r="BW64" s="2">
        <v>103</v>
      </c>
      <c r="BX64" s="2">
        <v>35</v>
      </c>
    </row>
    <row r="65" spans="63:76" x14ac:dyDescent="0.25">
      <c r="BK65" s="19" t="s">
        <v>119</v>
      </c>
      <c r="BL65" s="2">
        <v>2</v>
      </c>
      <c r="BM65" s="2">
        <v>1</v>
      </c>
      <c r="BN65" s="2">
        <v>2</v>
      </c>
      <c r="BO65" s="2">
        <v>2</v>
      </c>
      <c r="BP65" s="2">
        <v>1</v>
      </c>
      <c r="BQ65" s="2">
        <v>1</v>
      </c>
      <c r="BR65" s="2">
        <v>3</v>
      </c>
      <c r="BS65" s="2">
        <v>6</v>
      </c>
      <c r="BT65" s="2">
        <v>5</v>
      </c>
      <c r="BU65" s="2">
        <v>2</v>
      </c>
      <c r="BV65" s="2">
        <v>1</v>
      </c>
      <c r="BW65" s="2">
        <v>0</v>
      </c>
      <c r="BX65" s="2">
        <v>2</v>
      </c>
    </row>
    <row r="66" spans="63:76" x14ac:dyDescent="0.25">
      <c r="BK66" s="19" t="s">
        <v>120</v>
      </c>
      <c r="BL66" s="2">
        <v>16</v>
      </c>
      <c r="BM66" s="2">
        <v>5</v>
      </c>
      <c r="BN66" s="2">
        <v>13</v>
      </c>
      <c r="BO66" s="2">
        <v>5</v>
      </c>
      <c r="BP66" s="2">
        <v>6</v>
      </c>
      <c r="BQ66" s="2">
        <v>12</v>
      </c>
      <c r="BR66" s="2">
        <v>32</v>
      </c>
      <c r="BS66" s="2">
        <v>25</v>
      </c>
      <c r="BT66" s="2">
        <v>39</v>
      </c>
      <c r="BU66" s="2">
        <v>15</v>
      </c>
      <c r="BV66" s="2">
        <v>4</v>
      </c>
      <c r="BW66" s="2">
        <v>13</v>
      </c>
      <c r="BX66" s="2">
        <v>11</v>
      </c>
    </row>
    <row r="67" spans="63:76" x14ac:dyDescent="0.25">
      <c r="BK67" s="19" t="s">
        <v>121</v>
      </c>
      <c r="BL67" s="2">
        <v>125</v>
      </c>
      <c r="BM67" s="2">
        <v>94</v>
      </c>
      <c r="BN67" s="2">
        <v>45</v>
      </c>
      <c r="BO67" s="2">
        <v>19</v>
      </c>
      <c r="BP67" s="2">
        <v>77</v>
      </c>
      <c r="BQ67" s="2">
        <v>216</v>
      </c>
      <c r="BR67" s="2">
        <v>160</v>
      </c>
      <c r="BS67" s="2">
        <v>140</v>
      </c>
      <c r="BT67" s="2">
        <v>130</v>
      </c>
      <c r="BU67" s="2">
        <v>72</v>
      </c>
      <c r="BV67" s="2">
        <v>59</v>
      </c>
      <c r="BW67" s="2">
        <v>69</v>
      </c>
      <c r="BX67" s="2">
        <v>85</v>
      </c>
    </row>
    <row r="68" spans="63:76" x14ac:dyDescent="0.25">
      <c r="BK68" s="19" t="s">
        <v>122</v>
      </c>
      <c r="BL68" s="2">
        <v>0</v>
      </c>
      <c r="BM68" s="2">
        <v>0</v>
      </c>
      <c r="BN68" s="2">
        <v>1</v>
      </c>
      <c r="BO68" s="2">
        <v>1</v>
      </c>
      <c r="BP68" s="2">
        <v>0</v>
      </c>
      <c r="BQ68" s="2">
        <v>0</v>
      </c>
      <c r="BR68" s="2">
        <v>0</v>
      </c>
      <c r="BS68" s="2">
        <v>0</v>
      </c>
      <c r="BT68" s="2">
        <v>2</v>
      </c>
      <c r="BU68" s="2">
        <v>0</v>
      </c>
      <c r="BV68" s="2">
        <v>0</v>
      </c>
      <c r="BW68" s="2">
        <v>0</v>
      </c>
      <c r="BX68" s="2">
        <v>0</v>
      </c>
    </row>
    <row r="69" spans="63:76" x14ac:dyDescent="0.25">
      <c r="BK69" s="19" t="s">
        <v>327</v>
      </c>
      <c r="BL69" s="2">
        <v>46</v>
      </c>
      <c r="BM69" s="2">
        <v>10</v>
      </c>
      <c r="BN69" s="2">
        <v>9</v>
      </c>
      <c r="BO69" s="2">
        <v>1</v>
      </c>
      <c r="BP69" s="2">
        <v>10</v>
      </c>
      <c r="BQ69" s="2">
        <v>19</v>
      </c>
      <c r="BR69" s="2">
        <v>14</v>
      </c>
      <c r="BS69" s="2">
        <v>35</v>
      </c>
      <c r="BT69" s="2">
        <v>14</v>
      </c>
      <c r="BU69" s="2">
        <v>7</v>
      </c>
      <c r="BV69" s="2">
        <v>5</v>
      </c>
      <c r="BW69" s="2">
        <v>6</v>
      </c>
      <c r="BX69" s="2">
        <v>6</v>
      </c>
    </row>
    <row r="70" spans="63:76" x14ac:dyDescent="0.25">
      <c r="BK70" s="19" t="s">
        <v>123</v>
      </c>
      <c r="BL70" s="2">
        <v>15</v>
      </c>
      <c r="BM70" s="2">
        <v>24</v>
      </c>
      <c r="BN70" s="2">
        <v>32</v>
      </c>
      <c r="BO70" s="2">
        <v>24</v>
      </c>
      <c r="BP70" s="2">
        <v>25</v>
      </c>
      <c r="BQ70" s="2">
        <v>17</v>
      </c>
      <c r="BR70" s="2">
        <v>19</v>
      </c>
      <c r="BS70" s="2">
        <v>9</v>
      </c>
      <c r="BT70" s="2">
        <v>42</v>
      </c>
      <c r="BU70" s="2">
        <v>46</v>
      </c>
      <c r="BV70" s="2">
        <v>45</v>
      </c>
      <c r="BW70" s="2">
        <v>7</v>
      </c>
      <c r="BX70" s="2">
        <v>21</v>
      </c>
    </row>
    <row r="71" spans="63:76" x14ac:dyDescent="0.25">
      <c r="BK71" s="19" t="s">
        <v>124</v>
      </c>
      <c r="BL71" s="2">
        <v>0</v>
      </c>
      <c r="BM71" s="2">
        <v>0</v>
      </c>
      <c r="BN71" s="2">
        <v>0</v>
      </c>
      <c r="BO71" s="2">
        <v>0</v>
      </c>
      <c r="BP71" s="2">
        <v>1</v>
      </c>
      <c r="BQ71" s="2">
        <v>4</v>
      </c>
      <c r="BR71" s="2">
        <v>3</v>
      </c>
      <c r="BS71" s="2">
        <v>0</v>
      </c>
      <c r="BT71" s="2">
        <v>0</v>
      </c>
      <c r="BU71" s="2">
        <v>0</v>
      </c>
      <c r="BV71" s="2">
        <v>0</v>
      </c>
      <c r="BW71" s="2">
        <v>0</v>
      </c>
      <c r="BX71" s="2">
        <v>0</v>
      </c>
    </row>
    <row r="72" spans="63:76" x14ac:dyDescent="0.25">
      <c r="BK72" s="19" t="s">
        <v>125</v>
      </c>
      <c r="BL72" s="2">
        <v>72</v>
      </c>
      <c r="BM72" s="2">
        <v>20</v>
      </c>
      <c r="BN72" s="2">
        <v>49</v>
      </c>
      <c r="BO72" s="2">
        <v>14</v>
      </c>
      <c r="BP72" s="2">
        <v>83</v>
      </c>
      <c r="BQ72" s="2">
        <v>116</v>
      </c>
      <c r="BR72" s="2">
        <v>106</v>
      </c>
      <c r="BS72" s="2">
        <v>118</v>
      </c>
      <c r="BT72" s="2">
        <v>199</v>
      </c>
      <c r="BU72" s="2">
        <v>98</v>
      </c>
      <c r="BV72" s="2">
        <v>59</v>
      </c>
      <c r="BW72" s="2">
        <v>23</v>
      </c>
      <c r="BX72" s="2">
        <v>41</v>
      </c>
    </row>
    <row r="73" spans="63:76" x14ac:dyDescent="0.25">
      <c r="BK73" s="19" t="s">
        <v>126</v>
      </c>
      <c r="BL73" s="2">
        <v>55</v>
      </c>
      <c r="BM73" s="2">
        <v>0</v>
      </c>
      <c r="BN73" s="2">
        <v>0</v>
      </c>
      <c r="BO73" s="2">
        <v>0</v>
      </c>
      <c r="BP73" s="2">
        <v>0</v>
      </c>
      <c r="BQ73" s="2">
        <v>39</v>
      </c>
      <c r="BR73" s="2">
        <v>88</v>
      </c>
      <c r="BS73" s="2">
        <v>16</v>
      </c>
      <c r="BT73" s="2">
        <v>52</v>
      </c>
      <c r="BU73" s="2">
        <v>24</v>
      </c>
      <c r="BV73" s="2">
        <v>1</v>
      </c>
      <c r="BW73" s="2">
        <v>1</v>
      </c>
      <c r="BX73" s="2">
        <v>0</v>
      </c>
    </row>
    <row r="74" spans="63:76" x14ac:dyDescent="0.25">
      <c r="BK74" s="19" t="s">
        <v>127</v>
      </c>
      <c r="BL74" s="2">
        <v>0</v>
      </c>
      <c r="BM74" s="2">
        <v>2</v>
      </c>
      <c r="BN74" s="2">
        <v>0</v>
      </c>
      <c r="BO74" s="2">
        <v>3</v>
      </c>
      <c r="BP74" s="2">
        <v>2</v>
      </c>
      <c r="BQ74" s="2">
        <v>0</v>
      </c>
      <c r="BR74" s="2">
        <v>0</v>
      </c>
      <c r="BS74" s="2">
        <v>0</v>
      </c>
      <c r="BT74" s="2">
        <v>3</v>
      </c>
      <c r="BU74" s="2">
        <v>0</v>
      </c>
      <c r="BV74" s="2">
        <v>0</v>
      </c>
      <c r="BW74" s="2">
        <v>0</v>
      </c>
      <c r="BX74" s="2">
        <v>0</v>
      </c>
    </row>
    <row r="75" spans="63:76" x14ac:dyDescent="0.25">
      <c r="BK75" s="19" t="s">
        <v>128</v>
      </c>
      <c r="BL75" s="2">
        <v>38</v>
      </c>
      <c r="BM75" s="2">
        <v>36</v>
      </c>
      <c r="BN75" s="2">
        <v>49</v>
      </c>
      <c r="BO75" s="2">
        <v>70</v>
      </c>
      <c r="BP75" s="2">
        <v>18</v>
      </c>
      <c r="BQ75" s="2">
        <v>112</v>
      </c>
      <c r="BR75" s="2">
        <v>125</v>
      </c>
      <c r="BS75" s="2">
        <v>92</v>
      </c>
      <c r="BT75" s="2">
        <v>166</v>
      </c>
      <c r="BU75" s="2">
        <v>79</v>
      </c>
      <c r="BV75" s="2">
        <v>55</v>
      </c>
      <c r="BW75" s="2">
        <v>8</v>
      </c>
      <c r="BX75" s="2">
        <v>43</v>
      </c>
    </row>
    <row r="76" spans="63:76" x14ac:dyDescent="0.25">
      <c r="BK76" s="19" t="s">
        <v>129</v>
      </c>
      <c r="BL76" s="2">
        <v>42</v>
      </c>
      <c r="BM76" s="2">
        <v>4</v>
      </c>
      <c r="BN76" s="2">
        <v>7</v>
      </c>
      <c r="BO76" s="2">
        <v>35</v>
      </c>
      <c r="BP76" s="2">
        <v>18</v>
      </c>
      <c r="BQ76" s="2">
        <v>71</v>
      </c>
      <c r="BR76" s="2">
        <v>45</v>
      </c>
      <c r="BS76" s="2">
        <v>22</v>
      </c>
      <c r="BT76" s="2">
        <v>51</v>
      </c>
      <c r="BU76" s="2">
        <v>32</v>
      </c>
      <c r="BV76" s="2">
        <v>9</v>
      </c>
      <c r="BW76" s="2">
        <v>23</v>
      </c>
      <c r="BX76" s="2">
        <v>7</v>
      </c>
    </row>
    <row r="77" spans="63:76" x14ac:dyDescent="0.25">
      <c r="BK77" s="19" t="s">
        <v>130</v>
      </c>
      <c r="BL77" s="2">
        <v>6</v>
      </c>
      <c r="BM77" s="2">
        <v>3</v>
      </c>
      <c r="BN77" s="2">
        <v>2</v>
      </c>
      <c r="BO77" s="2">
        <v>3</v>
      </c>
      <c r="BP77" s="2">
        <v>4</v>
      </c>
      <c r="BQ77" s="2">
        <v>3</v>
      </c>
      <c r="BR77" s="2">
        <v>10</v>
      </c>
      <c r="BS77" s="2">
        <v>2</v>
      </c>
      <c r="BT77" s="2">
        <v>5</v>
      </c>
      <c r="BU77" s="2">
        <v>5</v>
      </c>
      <c r="BV77" s="2">
        <v>1</v>
      </c>
      <c r="BW77" s="2">
        <v>2</v>
      </c>
      <c r="BX77" s="2">
        <v>1</v>
      </c>
    </row>
    <row r="78" spans="63:76" x14ac:dyDescent="0.25">
      <c r="BK78" s="19" t="s">
        <v>131</v>
      </c>
      <c r="BL78" s="2">
        <v>2</v>
      </c>
      <c r="BM78" s="2">
        <v>5</v>
      </c>
      <c r="BN78" s="2">
        <v>11</v>
      </c>
      <c r="BO78" s="2">
        <v>0</v>
      </c>
      <c r="BP78" s="2">
        <v>1</v>
      </c>
      <c r="BQ78" s="2">
        <v>11</v>
      </c>
      <c r="BR78" s="2">
        <v>12</v>
      </c>
      <c r="BS78" s="2">
        <v>2</v>
      </c>
      <c r="BT78" s="2">
        <v>9</v>
      </c>
      <c r="BU78" s="2">
        <v>4</v>
      </c>
      <c r="BV78" s="2">
        <v>1</v>
      </c>
      <c r="BW78" s="2">
        <v>0</v>
      </c>
      <c r="BX78" s="2">
        <v>7</v>
      </c>
    </row>
    <row r="79" spans="63:76" x14ac:dyDescent="0.25">
      <c r="BK79" s="19" t="s">
        <v>132</v>
      </c>
      <c r="BL79" s="2">
        <v>45</v>
      </c>
      <c r="BM79" s="2">
        <v>31</v>
      </c>
      <c r="BN79" s="2">
        <v>28</v>
      </c>
      <c r="BO79" s="2">
        <v>64</v>
      </c>
      <c r="BP79" s="2">
        <v>20</v>
      </c>
      <c r="BQ79" s="2">
        <v>27</v>
      </c>
      <c r="BR79" s="2">
        <v>60</v>
      </c>
      <c r="BS79" s="2">
        <v>29</v>
      </c>
      <c r="BT79" s="2">
        <v>72</v>
      </c>
      <c r="BU79" s="2">
        <v>53</v>
      </c>
      <c r="BV79" s="2">
        <v>60</v>
      </c>
      <c r="BW79" s="2">
        <v>28</v>
      </c>
      <c r="BX79" s="2">
        <v>28</v>
      </c>
    </row>
    <row r="80" spans="63:76" x14ac:dyDescent="0.25">
      <c r="BK80" s="19" t="s">
        <v>133</v>
      </c>
      <c r="BL80" s="2">
        <v>10</v>
      </c>
      <c r="BM80" s="2">
        <v>3</v>
      </c>
      <c r="BN80" s="2">
        <v>1</v>
      </c>
      <c r="BO80" s="2">
        <v>8</v>
      </c>
      <c r="BP80" s="2">
        <v>0</v>
      </c>
      <c r="BQ80" s="2">
        <v>12</v>
      </c>
      <c r="BR80" s="2">
        <v>2</v>
      </c>
      <c r="BS80" s="2">
        <v>9</v>
      </c>
      <c r="BT80" s="2">
        <v>5</v>
      </c>
      <c r="BU80" s="2">
        <v>2</v>
      </c>
      <c r="BV80" s="2">
        <v>4</v>
      </c>
      <c r="BW80" s="2">
        <v>1</v>
      </c>
      <c r="BX80" s="2">
        <v>3</v>
      </c>
    </row>
    <row r="81" spans="63:76" x14ac:dyDescent="0.25">
      <c r="BK81" s="19" t="s">
        <v>134</v>
      </c>
      <c r="BL81" s="2">
        <v>57</v>
      </c>
      <c r="BM81" s="2">
        <v>93</v>
      </c>
      <c r="BN81" s="2">
        <v>93</v>
      </c>
      <c r="BO81" s="2">
        <v>158</v>
      </c>
      <c r="BP81" s="2">
        <v>112</v>
      </c>
      <c r="BQ81" s="2">
        <v>0</v>
      </c>
      <c r="BR81" s="2">
        <v>38</v>
      </c>
      <c r="BS81" s="2">
        <v>108</v>
      </c>
      <c r="BT81" s="2">
        <v>175</v>
      </c>
      <c r="BU81" s="2">
        <v>93</v>
      </c>
      <c r="BV81" s="2">
        <v>60</v>
      </c>
      <c r="BW81" s="2">
        <v>77</v>
      </c>
      <c r="BX81" s="2">
        <v>142</v>
      </c>
    </row>
    <row r="82" spans="63:76" x14ac:dyDescent="0.25">
      <c r="BK82" s="19" t="s">
        <v>135</v>
      </c>
      <c r="BL82" s="2">
        <v>7</v>
      </c>
      <c r="BM82" s="2">
        <v>2</v>
      </c>
      <c r="BN82" s="2">
        <v>1</v>
      </c>
      <c r="BO82" s="2">
        <v>1</v>
      </c>
      <c r="BP82" s="2">
        <v>3</v>
      </c>
      <c r="BQ82" s="2">
        <v>6</v>
      </c>
      <c r="BR82" s="2">
        <v>21</v>
      </c>
      <c r="BS82" s="2">
        <v>20</v>
      </c>
      <c r="BT82" s="2">
        <v>28</v>
      </c>
      <c r="BU82" s="2">
        <v>11</v>
      </c>
      <c r="BV82" s="2">
        <v>9</v>
      </c>
      <c r="BW82" s="2">
        <v>0</v>
      </c>
      <c r="BX82" s="2">
        <v>3</v>
      </c>
    </row>
    <row r="83" spans="63:76" x14ac:dyDescent="0.25">
      <c r="BK83" s="19" t="s">
        <v>136</v>
      </c>
      <c r="BL83" s="2">
        <v>0</v>
      </c>
      <c r="BM83" s="2">
        <v>5</v>
      </c>
      <c r="BN83" s="2">
        <v>0</v>
      </c>
      <c r="BO83" s="2">
        <v>1</v>
      </c>
      <c r="BP83" s="2">
        <v>0</v>
      </c>
      <c r="BQ83" s="2">
        <v>0</v>
      </c>
      <c r="BR83" s="2">
        <v>0</v>
      </c>
      <c r="BS83" s="2">
        <v>0</v>
      </c>
      <c r="BT83" s="2">
        <v>7</v>
      </c>
      <c r="BU83" s="2">
        <v>0</v>
      </c>
      <c r="BV83" s="2">
        <v>0</v>
      </c>
      <c r="BW83" s="2">
        <v>4</v>
      </c>
      <c r="BX83" s="2">
        <v>2</v>
      </c>
    </row>
    <row r="84" spans="63:76" x14ac:dyDescent="0.25">
      <c r="BK84" s="19" t="s">
        <v>137</v>
      </c>
      <c r="BL84" s="2">
        <v>1</v>
      </c>
      <c r="BM84" s="2">
        <v>0</v>
      </c>
      <c r="BN84" s="2">
        <v>0</v>
      </c>
      <c r="BO84" s="2">
        <v>0</v>
      </c>
      <c r="BP84" s="2">
        <v>0</v>
      </c>
      <c r="BQ84" s="2">
        <v>0</v>
      </c>
      <c r="BR84" s="2">
        <v>0</v>
      </c>
      <c r="BS84" s="2">
        <v>0</v>
      </c>
      <c r="BT84" s="2">
        <v>0</v>
      </c>
      <c r="BU84" s="2">
        <v>0</v>
      </c>
      <c r="BV84" s="2">
        <v>0</v>
      </c>
      <c r="BW84" s="2">
        <v>0</v>
      </c>
      <c r="BX84" s="2">
        <v>0</v>
      </c>
    </row>
    <row r="85" spans="63:76" x14ac:dyDescent="0.25">
      <c r="BK85" s="19" t="s">
        <v>138</v>
      </c>
      <c r="BL85" s="2">
        <v>31</v>
      </c>
      <c r="BM85" s="2">
        <v>45</v>
      </c>
      <c r="BN85" s="2">
        <v>43</v>
      </c>
      <c r="BO85" s="2">
        <v>28</v>
      </c>
      <c r="BP85" s="2">
        <v>39</v>
      </c>
      <c r="BQ85" s="2">
        <v>74</v>
      </c>
      <c r="BR85" s="2">
        <v>79</v>
      </c>
      <c r="BS85" s="2">
        <v>49</v>
      </c>
      <c r="BT85" s="2">
        <v>78</v>
      </c>
      <c r="BU85" s="2">
        <v>127</v>
      </c>
      <c r="BV85" s="2">
        <v>60</v>
      </c>
      <c r="BW85" s="2">
        <v>37</v>
      </c>
      <c r="BX85" s="2">
        <v>78</v>
      </c>
    </row>
    <row r="86" spans="63:76" x14ac:dyDescent="0.25">
      <c r="BK86" s="19" t="s">
        <v>291</v>
      </c>
      <c r="BL86" s="2">
        <v>2</v>
      </c>
      <c r="BM86" s="2">
        <v>0</v>
      </c>
      <c r="BN86" s="2">
        <v>0</v>
      </c>
      <c r="BO86" s="2">
        <v>0</v>
      </c>
      <c r="BP86" s="2">
        <v>1</v>
      </c>
      <c r="BQ86" s="2">
        <v>0</v>
      </c>
      <c r="BR86" s="2">
        <v>5</v>
      </c>
      <c r="BS86" s="2">
        <v>0</v>
      </c>
      <c r="BT86" s="2">
        <v>10</v>
      </c>
      <c r="BU86" s="2">
        <v>0</v>
      </c>
      <c r="BV86" s="2">
        <v>0</v>
      </c>
      <c r="BW86" s="2">
        <v>0</v>
      </c>
      <c r="BX86" s="2">
        <v>9</v>
      </c>
    </row>
    <row r="87" spans="63:76" x14ac:dyDescent="0.25">
      <c r="BK87" s="19" t="s">
        <v>139</v>
      </c>
      <c r="BL87" s="2">
        <v>18</v>
      </c>
      <c r="BM87" s="2">
        <v>8</v>
      </c>
      <c r="BN87" s="2">
        <v>12</v>
      </c>
      <c r="BO87" s="2">
        <v>27</v>
      </c>
      <c r="BP87" s="2">
        <v>36</v>
      </c>
      <c r="BQ87" s="2">
        <v>23</v>
      </c>
      <c r="BR87" s="2">
        <v>20</v>
      </c>
      <c r="BS87" s="2">
        <v>13</v>
      </c>
      <c r="BT87" s="2">
        <v>31</v>
      </c>
      <c r="BU87" s="2">
        <v>20</v>
      </c>
      <c r="BV87" s="2">
        <v>12</v>
      </c>
      <c r="BW87" s="2">
        <v>2</v>
      </c>
      <c r="BX87" s="2">
        <v>25</v>
      </c>
    </row>
    <row r="88" spans="63:76" x14ac:dyDescent="0.25">
      <c r="BK88" s="19" t="s">
        <v>140</v>
      </c>
      <c r="BL88" s="2">
        <v>11</v>
      </c>
      <c r="BM88" s="2">
        <v>4</v>
      </c>
      <c r="BN88" s="2">
        <v>7</v>
      </c>
      <c r="BO88" s="2">
        <v>4</v>
      </c>
      <c r="BP88" s="2">
        <v>20</v>
      </c>
      <c r="BQ88" s="2">
        <v>3</v>
      </c>
      <c r="BR88" s="2">
        <v>7</v>
      </c>
      <c r="BS88" s="2">
        <v>5</v>
      </c>
      <c r="BT88" s="2">
        <v>3</v>
      </c>
      <c r="BU88" s="2">
        <v>0</v>
      </c>
      <c r="BV88" s="2">
        <v>7</v>
      </c>
      <c r="BW88" s="2">
        <v>4</v>
      </c>
      <c r="BX88" s="2">
        <v>18</v>
      </c>
    </row>
    <row r="89" spans="63:76" x14ac:dyDescent="0.25">
      <c r="BK89" s="19" t="s">
        <v>141</v>
      </c>
      <c r="BL89" s="2">
        <v>0</v>
      </c>
      <c r="BM89" s="2">
        <v>3</v>
      </c>
      <c r="BN89" s="2">
        <v>0</v>
      </c>
      <c r="BO89" s="2">
        <v>4</v>
      </c>
      <c r="BP89" s="2">
        <v>3</v>
      </c>
      <c r="BQ89" s="2">
        <v>3</v>
      </c>
      <c r="BR89" s="2">
        <v>2</v>
      </c>
      <c r="BS89" s="2">
        <v>9</v>
      </c>
      <c r="BT89" s="2">
        <v>7</v>
      </c>
      <c r="BU89" s="2">
        <v>0</v>
      </c>
      <c r="BV89" s="2">
        <v>9</v>
      </c>
      <c r="BW89" s="2">
        <v>0</v>
      </c>
      <c r="BX89" s="2">
        <v>0</v>
      </c>
    </row>
    <row r="90" spans="63:76" x14ac:dyDescent="0.25">
      <c r="BK90" s="19" t="s">
        <v>142</v>
      </c>
      <c r="BL90" s="2">
        <v>5</v>
      </c>
      <c r="BM90" s="2">
        <v>5</v>
      </c>
      <c r="BN90" s="2">
        <v>8</v>
      </c>
      <c r="BO90" s="2">
        <v>0</v>
      </c>
      <c r="BP90" s="2">
        <v>4</v>
      </c>
      <c r="BQ90" s="2">
        <v>0</v>
      </c>
      <c r="BR90" s="2">
        <v>1</v>
      </c>
      <c r="BS90" s="2">
        <v>1</v>
      </c>
      <c r="BT90" s="2">
        <v>0</v>
      </c>
      <c r="BU90" s="2">
        <v>3</v>
      </c>
      <c r="BV90" s="2">
        <v>0</v>
      </c>
      <c r="BW90" s="2">
        <v>1</v>
      </c>
      <c r="BX90" s="2">
        <v>1</v>
      </c>
    </row>
    <row r="91" spans="63:76" x14ac:dyDescent="0.25">
      <c r="BK91" s="19" t="s">
        <v>143</v>
      </c>
      <c r="BL91" s="2">
        <v>0</v>
      </c>
      <c r="BM91" s="2">
        <v>0</v>
      </c>
      <c r="BN91" s="2">
        <v>0</v>
      </c>
      <c r="BO91" s="2">
        <v>0</v>
      </c>
      <c r="BP91" s="2">
        <v>0</v>
      </c>
      <c r="BQ91" s="2">
        <v>0</v>
      </c>
      <c r="BR91" s="2">
        <v>0</v>
      </c>
      <c r="BS91" s="2">
        <v>0</v>
      </c>
      <c r="BT91" s="2">
        <v>0</v>
      </c>
      <c r="BU91" s="2">
        <v>0</v>
      </c>
      <c r="BV91" s="2">
        <v>0</v>
      </c>
      <c r="BW91" s="2">
        <v>0</v>
      </c>
      <c r="BX91" s="2">
        <v>0</v>
      </c>
    </row>
    <row r="92" spans="63:76" x14ac:dyDescent="0.25">
      <c r="BK92" s="19" t="s">
        <v>144</v>
      </c>
      <c r="BL92" s="2">
        <v>18</v>
      </c>
      <c r="BM92" s="2">
        <v>3</v>
      </c>
      <c r="BN92" s="2">
        <v>0</v>
      </c>
      <c r="BO92" s="2">
        <v>0</v>
      </c>
      <c r="BP92" s="2">
        <v>0</v>
      </c>
      <c r="BQ92" s="2">
        <v>12</v>
      </c>
      <c r="BR92" s="2">
        <v>16</v>
      </c>
      <c r="BS92" s="2">
        <v>4</v>
      </c>
      <c r="BT92" s="2">
        <v>23</v>
      </c>
      <c r="BU92" s="2">
        <v>32</v>
      </c>
      <c r="BV92" s="2">
        <v>5</v>
      </c>
      <c r="BW92" s="2">
        <v>7</v>
      </c>
      <c r="BX92" s="2">
        <v>12</v>
      </c>
    </row>
    <row r="93" spans="63:76" x14ac:dyDescent="0.25">
      <c r="BK93" s="19" t="s">
        <v>145</v>
      </c>
      <c r="BL93" s="2">
        <v>4</v>
      </c>
      <c r="BM93" s="2">
        <v>1</v>
      </c>
      <c r="BN93" s="2">
        <v>2</v>
      </c>
      <c r="BO93" s="2">
        <v>1</v>
      </c>
      <c r="BP93" s="2">
        <v>11</v>
      </c>
      <c r="BQ93" s="2">
        <v>0</v>
      </c>
      <c r="BR93" s="2">
        <v>11</v>
      </c>
      <c r="BS93" s="2">
        <v>8</v>
      </c>
      <c r="BT93" s="2">
        <v>3</v>
      </c>
      <c r="BU93" s="2">
        <v>5</v>
      </c>
      <c r="BV93" s="2">
        <v>4</v>
      </c>
      <c r="BW93" s="2">
        <v>1</v>
      </c>
      <c r="BX93" s="2">
        <v>4</v>
      </c>
    </row>
    <row r="94" spans="63:76" x14ac:dyDescent="0.25">
      <c r="BK94" s="19" t="s">
        <v>146</v>
      </c>
      <c r="BL94" s="2">
        <v>107</v>
      </c>
      <c r="BM94" s="2">
        <v>37</v>
      </c>
      <c r="BN94" s="2">
        <v>61</v>
      </c>
      <c r="BO94" s="2">
        <v>57</v>
      </c>
      <c r="BP94" s="2">
        <v>73</v>
      </c>
      <c r="BQ94" s="2">
        <v>137</v>
      </c>
      <c r="BR94" s="2">
        <v>134</v>
      </c>
      <c r="BS94" s="2">
        <v>134</v>
      </c>
      <c r="BT94" s="2">
        <v>148</v>
      </c>
      <c r="BU94" s="2">
        <v>92</v>
      </c>
      <c r="BV94" s="2">
        <v>47</v>
      </c>
      <c r="BW94" s="2">
        <v>9</v>
      </c>
      <c r="BX94" s="2">
        <v>32</v>
      </c>
    </row>
    <row r="95" spans="63:76" x14ac:dyDescent="0.25">
      <c r="BK95" s="19" t="s">
        <v>147</v>
      </c>
      <c r="BL95" s="2">
        <v>28</v>
      </c>
      <c r="BM95" s="2">
        <v>39</v>
      </c>
      <c r="BN95" s="2">
        <v>10</v>
      </c>
      <c r="BO95" s="2">
        <v>25</v>
      </c>
      <c r="BP95" s="2">
        <v>14</v>
      </c>
      <c r="BQ95" s="2">
        <v>36</v>
      </c>
      <c r="BR95" s="2">
        <v>18</v>
      </c>
      <c r="BS95" s="2">
        <v>31</v>
      </c>
      <c r="BT95" s="2">
        <v>59</v>
      </c>
      <c r="BU95" s="2">
        <v>20</v>
      </c>
      <c r="BV95" s="2">
        <v>5</v>
      </c>
      <c r="BW95" s="2">
        <v>31</v>
      </c>
      <c r="BX95" s="2">
        <v>31</v>
      </c>
    </row>
    <row r="96" spans="63:76" x14ac:dyDescent="0.25">
      <c r="BK96" s="19" t="s">
        <v>328</v>
      </c>
      <c r="BL96" s="2">
        <v>32</v>
      </c>
      <c r="BM96" s="2">
        <v>54</v>
      </c>
      <c r="BN96" s="2">
        <v>44</v>
      </c>
      <c r="BO96" s="2">
        <v>13</v>
      </c>
      <c r="BP96" s="2">
        <v>15</v>
      </c>
      <c r="BQ96" s="2">
        <v>62</v>
      </c>
      <c r="BR96" s="2">
        <v>95</v>
      </c>
      <c r="BS96" s="2">
        <v>44</v>
      </c>
      <c r="BT96" s="2">
        <v>93</v>
      </c>
      <c r="BU96" s="2">
        <v>61</v>
      </c>
      <c r="BV96" s="2">
        <v>41</v>
      </c>
      <c r="BW96" s="2">
        <v>31</v>
      </c>
      <c r="BX96" s="2">
        <v>31</v>
      </c>
    </row>
    <row r="97" spans="63:76" x14ac:dyDescent="0.25">
      <c r="BK97" s="19" t="s">
        <v>148</v>
      </c>
      <c r="BL97" s="2">
        <v>0</v>
      </c>
      <c r="BM97" s="2">
        <v>0</v>
      </c>
      <c r="BN97" s="2">
        <v>1</v>
      </c>
      <c r="BO97" s="2">
        <v>9</v>
      </c>
      <c r="BP97" s="2">
        <v>0</v>
      </c>
      <c r="BQ97" s="2">
        <v>0</v>
      </c>
      <c r="BR97" s="2">
        <v>14</v>
      </c>
      <c r="BS97" s="2">
        <v>7</v>
      </c>
      <c r="BT97" s="2">
        <v>2</v>
      </c>
      <c r="BU97" s="2">
        <v>4</v>
      </c>
      <c r="BV97" s="2">
        <v>0</v>
      </c>
      <c r="BW97" s="2">
        <v>0</v>
      </c>
      <c r="BX97" s="2">
        <v>9</v>
      </c>
    </row>
    <row r="98" spans="63:76" x14ac:dyDescent="0.25">
      <c r="BK98" s="19" t="s">
        <v>149</v>
      </c>
      <c r="BL98" s="2">
        <v>15</v>
      </c>
      <c r="BM98" s="2">
        <v>2</v>
      </c>
      <c r="BN98" s="2">
        <v>13</v>
      </c>
      <c r="BO98" s="2">
        <v>40</v>
      </c>
      <c r="BP98" s="2">
        <v>36</v>
      </c>
      <c r="BQ98" s="2">
        <v>19</v>
      </c>
      <c r="BR98" s="2">
        <v>65</v>
      </c>
      <c r="BS98" s="2">
        <v>50</v>
      </c>
      <c r="BT98" s="2">
        <v>79</v>
      </c>
      <c r="BU98" s="2">
        <v>42</v>
      </c>
      <c r="BV98" s="2">
        <v>32</v>
      </c>
      <c r="BW98" s="2">
        <v>38</v>
      </c>
      <c r="BX98" s="2">
        <v>7</v>
      </c>
    </row>
    <row r="99" spans="63:76" x14ac:dyDescent="0.25">
      <c r="BK99" s="19" t="s">
        <v>150</v>
      </c>
      <c r="BL99" s="2">
        <v>13</v>
      </c>
      <c r="BM99" s="2">
        <v>3</v>
      </c>
      <c r="BN99" s="2">
        <v>5</v>
      </c>
      <c r="BO99" s="2">
        <v>10</v>
      </c>
      <c r="BP99" s="2">
        <v>12</v>
      </c>
      <c r="BQ99" s="2">
        <v>10</v>
      </c>
      <c r="BR99" s="2">
        <v>14</v>
      </c>
      <c r="BS99" s="2">
        <v>32</v>
      </c>
      <c r="BT99" s="2">
        <v>16</v>
      </c>
      <c r="BU99" s="2">
        <v>24</v>
      </c>
      <c r="BV99" s="2">
        <v>9</v>
      </c>
      <c r="BW99" s="2">
        <v>7</v>
      </c>
      <c r="BX99" s="2">
        <v>14</v>
      </c>
    </row>
    <row r="100" spans="63:76" x14ac:dyDescent="0.25">
      <c r="BK100" s="19" t="s">
        <v>151</v>
      </c>
      <c r="BL100" s="2">
        <v>16</v>
      </c>
      <c r="BM100" s="2">
        <v>1</v>
      </c>
      <c r="BN100" s="2">
        <v>5</v>
      </c>
      <c r="BO100" s="2">
        <v>17</v>
      </c>
      <c r="BP100" s="2">
        <v>1</v>
      </c>
      <c r="BQ100" s="2">
        <v>17</v>
      </c>
      <c r="BR100" s="2">
        <v>10</v>
      </c>
      <c r="BS100" s="2">
        <v>7</v>
      </c>
      <c r="BT100" s="2">
        <v>13</v>
      </c>
      <c r="BU100" s="2">
        <v>8</v>
      </c>
      <c r="BV100" s="2">
        <v>10</v>
      </c>
      <c r="BW100" s="2">
        <v>10</v>
      </c>
      <c r="BX100" s="2">
        <v>5</v>
      </c>
    </row>
    <row r="101" spans="63:76" x14ac:dyDescent="0.25">
      <c r="BK101" s="19" t="s">
        <v>152</v>
      </c>
      <c r="BL101" s="2">
        <v>70</v>
      </c>
      <c r="BM101" s="2">
        <v>45</v>
      </c>
      <c r="BN101" s="2">
        <v>14</v>
      </c>
      <c r="BO101" s="2">
        <v>32</v>
      </c>
      <c r="BP101" s="2">
        <v>21</v>
      </c>
      <c r="BQ101" s="2">
        <v>167</v>
      </c>
      <c r="BR101" s="2">
        <v>108</v>
      </c>
      <c r="BS101" s="2">
        <v>42</v>
      </c>
      <c r="BT101" s="2">
        <v>104</v>
      </c>
      <c r="BU101" s="2">
        <v>61</v>
      </c>
      <c r="BV101" s="2">
        <v>33</v>
      </c>
      <c r="BW101" s="2">
        <v>22</v>
      </c>
      <c r="BX101" s="2">
        <v>53</v>
      </c>
    </row>
    <row r="102" spans="63:76" x14ac:dyDescent="0.25">
      <c r="BK102" s="19" t="s">
        <v>153</v>
      </c>
      <c r="BL102" s="2">
        <v>37</v>
      </c>
      <c r="BM102" s="2">
        <v>24</v>
      </c>
      <c r="BN102" s="2">
        <v>18</v>
      </c>
      <c r="BO102" s="2">
        <v>4</v>
      </c>
      <c r="BP102" s="2">
        <v>17</v>
      </c>
      <c r="BQ102" s="2">
        <v>61</v>
      </c>
      <c r="BR102" s="2">
        <v>16</v>
      </c>
      <c r="BS102" s="2">
        <v>40</v>
      </c>
      <c r="BT102" s="2">
        <v>88</v>
      </c>
      <c r="BU102" s="2">
        <v>35</v>
      </c>
      <c r="BV102" s="2">
        <v>7</v>
      </c>
      <c r="BW102" s="2">
        <v>0</v>
      </c>
      <c r="BX102" s="2">
        <v>23</v>
      </c>
    </row>
    <row r="103" spans="63:76" x14ac:dyDescent="0.25">
      <c r="BK103" s="19" t="s">
        <v>154</v>
      </c>
      <c r="BL103" s="2">
        <v>25</v>
      </c>
      <c r="BM103" s="2">
        <v>40</v>
      </c>
      <c r="BN103" s="2">
        <v>16</v>
      </c>
      <c r="BO103" s="2">
        <v>10</v>
      </c>
      <c r="BP103" s="2">
        <v>22</v>
      </c>
      <c r="BQ103" s="2">
        <v>36</v>
      </c>
      <c r="BR103" s="2">
        <v>7</v>
      </c>
      <c r="BS103" s="2">
        <v>0</v>
      </c>
      <c r="BT103" s="2">
        <v>11</v>
      </c>
      <c r="BU103" s="2">
        <v>52</v>
      </c>
      <c r="BV103" s="2">
        <v>27</v>
      </c>
      <c r="BW103" s="2">
        <v>0</v>
      </c>
      <c r="BX103" s="2">
        <v>25</v>
      </c>
    </row>
    <row r="104" spans="63:76" x14ac:dyDescent="0.25">
      <c r="BK104" s="19" t="s">
        <v>155</v>
      </c>
      <c r="BL104" s="2">
        <v>22</v>
      </c>
      <c r="BM104" s="2">
        <v>18</v>
      </c>
      <c r="BN104" s="2">
        <v>4</v>
      </c>
      <c r="BO104" s="2">
        <v>1</v>
      </c>
      <c r="BP104" s="2">
        <v>1</v>
      </c>
      <c r="BQ104" s="2">
        <v>13</v>
      </c>
      <c r="BR104" s="2">
        <v>1</v>
      </c>
      <c r="BS104" s="2">
        <v>4</v>
      </c>
      <c r="BT104" s="2">
        <v>14</v>
      </c>
      <c r="BU104" s="2">
        <v>8</v>
      </c>
      <c r="BV104" s="2">
        <v>7</v>
      </c>
      <c r="BW104" s="2">
        <v>10</v>
      </c>
      <c r="BX104" s="2">
        <v>8</v>
      </c>
    </row>
    <row r="105" spans="63:76" x14ac:dyDescent="0.25">
      <c r="BK105" s="19" t="s">
        <v>156</v>
      </c>
      <c r="BL105" s="2">
        <v>3</v>
      </c>
      <c r="BM105" s="2">
        <v>1</v>
      </c>
      <c r="BN105" s="2">
        <v>0</v>
      </c>
      <c r="BO105" s="2">
        <v>3</v>
      </c>
      <c r="BP105" s="2">
        <v>0</v>
      </c>
      <c r="BQ105" s="2">
        <v>4</v>
      </c>
      <c r="BR105" s="2">
        <v>2</v>
      </c>
      <c r="BS105" s="2">
        <v>2</v>
      </c>
      <c r="BT105" s="2">
        <v>6</v>
      </c>
      <c r="BU105" s="2">
        <v>2</v>
      </c>
      <c r="BV105" s="2">
        <v>2</v>
      </c>
      <c r="BW105" s="2">
        <v>0</v>
      </c>
      <c r="BX105" s="2">
        <v>3</v>
      </c>
    </row>
    <row r="106" spans="63:76" x14ac:dyDescent="0.25">
      <c r="BK106" s="19" t="s">
        <v>157</v>
      </c>
      <c r="BL106" s="2">
        <v>11</v>
      </c>
      <c r="BM106" s="2">
        <v>2</v>
      </c>
      <c r="BN106" s="2">
        <v>15</v>
      </c>
      <c r="BO106" s="2">
        <v>2</v>
      </c>
      <c r="BP106" s="2">
        <v>23</v>
      </c>
      <c r="BQ106" s="2">
        <v>20</v>
      </c>
      <c r="BR106" s="2">
        <v>37</v>
      </c>
      <c r="BS106" s="2">
        <v>2</v>
      </c>
      <c r="BT106" s="2">
        <v>46</v>
      </c>
      <c r="BU106" s="2">
        <v>13</v>
      </c>
      <c r="BV106" s="2">
        <v>7</v>
      </c>
      <c r="BW106" s="2">
        <v>0</v>
      </c>
      <c r="BX106" s="2">
        <v>25</v>
      </c>
    </row>
    <row r="107" spans="63:76" x14ac:dyDescent="0.25">
      <c r="BK107" s="19" t="s">
        <v>158</v>
      </c>
      <c r="BL107" s="2">
        <v>0</v>
      </c>
      <c r="BM107" s="2">
        <v>0</v>
      </c>
      <c r="BN107" s="2">
        <v>7</v>
      </c>
      <c r="BO107" s="2">
        <v>1</v>
      </c>
      <c r="BP107" s="2">
        <v>3</v>
      </c>
      <c r="BQ107" s="2">
        <v>20</v>
      </c>
      <c r="BR107" s="2">
        <v>10</v>
      </c>
      <c r="BS107" s="2">
        <v>0</v>
      </c>
      <c r="BT107" s="2">
        <v>3</v>
      </c>
      <c r="BU107" s="2">
        <v>18</v>
      </c>
      <c r="BV107" s="2">
        <v>4</v>
      </c>
      <c r="BW107" s="2">
        <v>1</v>
      </c>
      <c r="BX107" s="2">
        <v>0</v>
      </c>
    </row>
    <row r="108" spans="63:76" x14ac:dyDescent="0.25">
      <c r="BK108" s="19" t="s">
        <v>159</v>
      </c>
      <c r="BL108" s="2">
        <v>0</v>
      </c>
      <c r="BM108" s="2">
        <v>0</v>
      </c>
      <c r="BN108" s="2">
        <v>1</v>
      </c>
      <c r="BO108" s="2">
        <v>0</v>
      </c>
      <c r="BP108" s="2">
        <v>3</v>
      </c>
      <c r="BQ108" s="2">
        <v>0</v>
      </c>
      <c r="BR108" s="2">
        <v>0</v>
      </c>
      <c r="BS108" s="2">
        <v>0</v>
      </c>
      <c r="BT108" s="2">
        <v>0</v>
      </c>
      <c r="BU108" s="2">
        <v>0</v>
      </c>
      <c r="BV108" s="2">
        <v>0</v>
      </c>
      <c r="BW108" s="2">
        <v>2</v>
      </c>
      <c r="BX108" s="2">
        <v>0</v>
      </c>
    </row>
    <row r="109" spans="63:76" x14ac:dyDescent="0.25">
      <c r="BK109" s="19" t="s">
        <v>160</v>
      </c>
      <c r="BL109" s="2">
        <v>32</v>
      </c>
      <c r="BM109" s="2">
        <v>13</v>
      </c>
      <c r="BN109" s="2">
        <v>31</v>
      </c>
      <c r="BO109" s="2">
        <v>10</v>
      </c>
      <c r="BP109" s="2">
        <v>25</v>
      </c>
      <c r="BQ109" s="2">
        <v>48</v>
      </c>
      <c r="BR109" s="2">
        <v>76</v>
      </c>
      <c r="BS109" s="2">
        <v>20</v>
      </c>
      <c r="BT109" s="2">
        <v>57</v>
      </c>
      <c r="BU109" s="2">
        <v>26</v>
      </c>
      <c r="BV109" s="2">
        <v>42</v>
      </c>
      <c r="BW109" s="2">
        <v>14</v>
      </c>
      <c r="BX109" s="2">
        <v>14</v>
      </c>
    </row>
    <row r="110" spans="63:76" x14ac:dyDescent="0.25">
      <c r="BK110" s="19" t="s">
        <v>292</v>
      </c>
      <c r="BL110" s="2">
        <v>51</v>
      </c>
      <c r="BM110" s="2">
        <v>29</v>
      </c>
      <c r="BN110" s="2">
        <v>18</v>
      </c>
      <c r="BO110" s="2">
        <v>4</v>
      </c>
      <c r="BP110" s="2">
        <v>27</v>
      </c>
      <c r="BQ110" s="2">
        <v>22</v>
      </c>
      <c r="BR110" s="2">
        <v>53</v>
      </c>
      <c r="BS110" s="2">
        <v>57</v>
      </c>
      <c r="BT110" s="2">
        <v>48</v>
      </c>
      <c r="BU110" s="2">
        <v>18</v>
      </c>
      <c r="BV110" s="2">
        <v>12</v>
      </c>
      <c r="BW110" s="2">
        <v>5</v>
      </c>
      <c r="BX110" s="2">
        <v>28</v>
      </c>
    </row>
    <row r="111" spans="63:76" x14ac:dyDescent="0.25">
      <c r="BK111" s="19" t="s">
        <v>161</v>
      </c>
      <c r="BL111" s="2">
        <v>63</v>
      </c>
      <c r="BM111" s="2">
        <v>50</v>
      </c>
      <c r="BN111" s="2">
        <v>47</v>
      </c>
      <c r="BO111" s="2">
        <v>29</v>
      </c>
      <c r="BP111" s="2">
        <v>13</v>
      </c>
      <c r="BQ111" s="2">
        <v>52</v>
      </c>
      <c r="BR111" s="2">
        <v>42</v>
      </c>
      <c r="BS111" s="2">
        <v>34</v>
      </c>
      <c r="BT111" s="2">
        <v>19</v>
      </c>
      <c r="BU111" s="2">
        <v>16</v>
      </c>
      <c r="BV111" s="2">
        <v>32</v>
      </c>
      <c r="BW111" s="2">
        <v>33</v>
      </c>
      <c r="BX111" s="2">
        <v>67</v>
      </c>
    </row>
    <row r="112" spans="63:76" x14ac:dyDescent="0.25">
      <c r="BK112" s="19" t="s">
        <v>162</v>
      </c>
      <c r="BL112" s="2">
        <v>5</v>
      </c>
      <c r="BM112" s="2">
        <v>2</v>
      </c>
      <c r="BN112" s="2">
        <v>6</v>
      </c>
      <c r="BO112" s="2">
        <v>1</v>
      </c>
      <c r="BP112" s="2">
        <v>13</v>
      </c>
      <c r="BQ112" s="2">
        <v>2</v>
      </c>
      <c r="BR112" s="2">
        <v>9</v>
      </c>
      <c r="BS112" s="2">
        <v>2</v>
      </c>
      <c r="BT112" s="2">
        <v>13</v>
      </c>
      <c r="BU112" s="2">
        <v>1</v>
      </c>
      <c r="BV112" s="2">
        <v>2</v>
      </c>
      <c r="BW112" s="2">
        <v>2</v>
      </c>
      <c r="BX112" s="2">
        <v>1</v>
      </c>
    </row>
    <row r="113" spans="63:76" x14ac:dyDescent="0.25">
      <c r="BK113" s="19" t="s">
        <v>163</v>
      </c>
      <c r="BL113" s="2">
        <v>4</v>
      </c>
      <c r="BM113" s="2">
        <v>15</v>
      </c>
      <c r="BN113" s="2">
        <v>11</v>
      </c>
      <c r="BO113" s="2">
        <v>7</v>
      </c>
      <c r="BP113" s="2">
        <v>8</v>
      </c>
      <c r="BQ113" s="2">
        <v>12</v>
      </c>
      <c r="BR113" s="2">
        <v>29</v>
      </c>
      <c r="BS113" s="2">
        <v>13</v>
      </c>
      <c r="BT113" s="2">
        <v>87</v>
      </c>
      <c r="BU113" s="2">
        <v>43</v>
      </c>
      <c r="BV113" s="2">
        <v>2</v>
      </c>
      <c r="BW113" s="2">
        <v>6</v>
      </c>
      <c r="BX113" s="2">
        <v>20</v>
      </c>
    </row>
    <row r="114" spans="63:76" x14ac:dyDescent="0.25">
      <c r="BK114" s="19" t="s">
        <v>164</v>
      </c>
      <c r="BL114" s="2">
        <v>3</v>
      </c>
      <c r="BM114" s="2">
        <v>2</v>
      </c>
      <c r="BN114" s="2">
        <v>4</v>
      </c>
      <c r="BO114" s="2">
        <v>1</v>
      </c>
      <c r="BP114" s="2">
        <v>0</v>
      </c>
      <c r="BQ114" s="2">
        <v>1</v>
      </c>
      <c r="BR114" s="2">
        <v>4</v>
      </c>
      <c r="BS114" s="2">
        <v>5</v>
      </c>
      <c r="BT114" s="2">
        <v>8</v>
      </c>
      <c r="BU114" s="2">
        <v>3</v>
      </c>
      <c r="BV114" s="2">
        <v>2</v>
      </c>
      <c r="BW114" s="2">
        <v>0</v>
      </c>
      <c r="BX114" s="2">
        <v>2</v>
      </c>
    </row>
    <row r="115" spans="63:76" x14ac:dyDescent="0.25">
      <c r="BK115" s="19" t="s">
        <v>165</v>
      </c>
      <c r="BL115" s="2">
        <v>176</v>
      </c>
      <c r="BM115" s="2">
        <v>214</v>
      </c>
      <c r="BN115" s="2">
        <v>260</v>
      </c>
      <c r="BO115" s="2">
        <v>99</v>
      </c>
      <c r="BP115" s="2">
        <v>204</v>
      </c>
      <c r="BQ115" s="2">
        <v>328</v>
      </c>
      <c r="BR115" s="2">
        <v>199</v>
      </c>
      <c r="BS115" s="2">
        <v>268</v>
      </c>
      <c r="BT115" s="2">
        <v>156</v>
      </c>
      <c r="BU115" s="2">
        <v>191</v>
      </c>
      <c r="BV115" s="2">
        <v>204</v>
      </c>
      <c r="BW115" s="2">
        <v>138</v>
      </c>
      <c r="BX115" s="2">
        <v>268</v>
      </c>
    </row>
    <row r="116" spans="63:76" x14ac:dyDescent="0.25">
      <c r="BK116" s="19" t="s">
        <v>166</v>
      </c>
      <c r="BL116" s="2">
        <v>7</v>
      </c>
      <c r="BM116" s="2">
        <v>5</v>
      </c>
      <c r="BN116" s="2">
        <v>14</v>
      </c>
      <c r="BO116" s="2">
        <v>0</v>
      </c>
      <c r="BP116" s="2">
        <v>1</v>
      </c>
      <c r="BQ116" s="2">
        <v>0</v>
      </c>
      <c r="BR116" s="2">
        <v>14</v>
      </c>
      <c r="BS116" s="2">
        <v>0</v>
      </c>
      <c r="BT116" s="2">
        <v>0</v>
      </c>
      <c r="BU116" s="2">
        <v>2</v>
      </c>
      <c r="BV116" s="2">
        <v>2</v>
      </c>
      <c r="BW116" s="2">
        <v>35</v>
      </c>
      <c r="BX116" s="2">
        <v>0</v>
      </c>
    </row>
    <row r="117" spans="63:76" x14ac:dyDescent="0.25">
      <c r="BK117" s="19" t="s">
        <v>167</v>
      </c>
      <c r="BL117" s="2">
        <v>0</v>
      </c>
      <c r="BM117" s="2">
        <v>0</v>
      </c>
      <c r="BN117" s="2">
        <v>0</v>
      </c>
      <c r="BO117" s="2">
        <v>3</v>
      </c>
      <c r="BP117" s="2">
        <v>0</v>
      </c>
      <c r="BQ117" s="2">
        <v>0</v>
      </c>
      <c r="BR117" s="2">
        <v>1</v>
      </c>
      <c r="BS117" s="2">
        <v>2</v>
      </c>
      <c r="BT117" s="2">
        <v>1</v>
      </c>
      <c r="BU117" s="2">
        <v>0</v>
      </c>
      <c r="BV117" s="2">
        <v>0</v>
      </c>
      <c r="BW117" s="2">
        <v>1</v>
      </c>
      <c r="BX117" s="2">
        <v>0</v>
      </c>
    </row>
    <row r="118" spans="63:76" x14ac:dyDescent="0.25">
      <c r="BK118" s="19" t="s">
        <v>168</v>
      </c>
      <c r="BL118" s="2">
        <v>50</v>
      </c>
      <c r="BM118" s="2">
        <v>45</v>
      </c>
      <c r="BN118" s="2">
        <v>71</v>
      </c>
      <c r="BO118" s="2">
        <v>73</v>
      </c>
      <c r="BP118" s="2">
        <v>28</v>
      </c>
      <c r="BQ118" s="2">
        <v>49</v>
      </c>
      <c r="BR118" s="2">
        <v>80</v>
      </c>
      <c r="BS118" s="2">
        <v>38</v>
      </c>
      <c r="BT118" s="2">
        <v>47</v>
      </c>
      <c r="BU118" s="2">
        <v>72</v>
      </c>
      <c r="BV118" s="2">
        <v>41</v>
      </c>
      <c r="BW118" s="2">
        <v>13</v>
      </c>
      <c r="BX118" s="2">
        <v>29</v>
      </c>
    </row>
    <row r="119" spans="63:76" x14ac:dyDescent="0.25">
      <c r="BK119" s="19" t="s">
        <v>169</v>
      </c>
      <c r="BL119" s="2">
        <v>0</v>
      </c>
      <c r="BM119" s="2">
        <v>5</v>
      </c>
      <c r="BN119" s="2">
        <v>1</v>
      </c>
      <c r="BO119" s="2">
        <v>4</v>
      </c>
      <c r="BP119" s="2">
        <v>8</v>
      </c>
      <c r="BQ119" s="2">
        <v>3</v>
      </c>
      <c r="BR119" s="2">
        <v>5</v>
      </c>
      <c r="BS119" s="2">
        <v>27</v>
      </c>
      <c r="BT119" s="2">
        <v>17</v>
      </c>
      <c r="BU119" s="2">
        <v>2</v>
      </c>
      <c r="BV119" s="2">
        <v>4</v>
      </c>
      <c r="BW119" s="2">
        <v>1</v>
      </c>
      <c r="BX119" s="2">
        <v>9</v>
      </c>
    </row>
    <row r="120" spans="63:76" x14ac:dyDescent="0.25">
      <c r="BK120" s="19" t="s">
        <v>170</v>
      </c>
      <c r="BL120" s="2">
        <v>0</v>
      </c>
      <c r="BM120" s="2">
        <v>21</v>
      </c>
      <c r="BN120" s="2">
        <v>13</v>
      </c>
      <c r="BO120" s="2">
        <v>7</v>
      </c>
      <c r="BP120" s="2">
        <v>1</v>
      </c>
      <c r="BQ120" s="2">
        <v>35</v>
      </c>
      <c r="BR120" s="2">
        <v>17</v>
      </c>
      <c r="BS120" s="2">
        <v>33</v>
      </c>
      <c r="BT120" s="2">
        <v>98</v>
      </c>
      <c r="BU120" s="2">
        <v>28</v>
      </c>
      <c r="BV120" s="2">
        <v>20</v>
      </c>
      <c r="BW120" s="2">
        <v>25</v>
      </c>
      <c r="BX120" s="2">
        <v>24</v>
      </c>
    </row>
    <row r="121" spans="63:76" x14ac:dyDescent="0.25">
      <c r="BK121" s="19" t="s">
        <v>240</v>
      </c>
      <c r="BL121" s="2">
        <v>29</v>
      </c>
      <c r="BM121" s="2">
        <v>52</v>
      </c>
      <c r="BN121" s="2">
        <v>32</v>
      </c>
      <c r="BO121" s="2">
        <v>23</v>
      </c>
      <c r="BP121" s="2">
        <v>26</v>
      </c>
      <c r="BQ121" s="2">
        <v>71</v>
      </c>
      <c r="BR121" s="2">
        <v>97</v>
      </c>
      <c r="BS121" s="2">
        <v>28</v>
      </c>
      <c r="BT121" s="2">
        <v>55</v>
      </c>
      <c r="BU121" s="2">
        <v>80</v>
      </c>
      <c r="BV121" s="2">
        <v>30</v>
      </c>
      <c r="BW121" s="2">
        <v>12</v>
      </c>
      <c r="BX121" s="2">
        <v>10</v>
      </c>
    </row>
    <row r="122" spans="63:76" x14ac:dyDescent="0.25">
      <c r="BK122" s="19" t="s">
        <v>171</v>
      </c>
      <c r="BL122" s="2">
        <v>215</v>
      </c>
      <c r="BM122" s="2">
        <v>176</v>
      </c>
      <c r="BN122" s="2">
        <v>145</v>
      </c>
      <c r="BO122" s="2">
        <v>106</v>
      </c>
      <c r="BP122" s="2">
        <v>284</v>
      </c>
      <c r="BQ122" s="2">
        <v>239</v>
      </c>
      <c r="BR122" s="2">
        <v>362</v>
      </c>
      <c r="BS122" s="2">
        <v>202</v>
      </c>
      <c r="BT122" s="2">
        <v>369</v>
      </c>
      <c r="BU122" s="2">
        <v>389</v>
      </c>
      <c r="BV122" s="2">
        <v>243</v>
      </c>
      <c r="BW122" s="2">
        <v>125</v>
      </c>
      <c r="BX122" s="2">
        <v>366</v>
      </c>
    </row>
    <row r="123" spans="63:76" x14ac:dyDescent="0.25">
      <c r="BK123" s="19" t="s">
        <v>172</v>
      </c>
      <c r="BL123" s="2">
        <v>46</v>
      </c>
      <c r="BM123" s="2">
        <v>22</v>
      </c>
      <c r="BN123" s="2">
        <v>30</v>
      </c>
      <c r="BO123" s="2">
        <v>16</v>
      </c>
      <c r="BP123" s="2">
        <v>20</v>
      </c>
      <c r="BQ123" s="2">
        <v>29</v>
      </c>
      <c r="BR123" s="2">
        <v>42</v>
      </c>
      <c r="BS123" s="2">
        <v>23</v>
      </c>
      <c r="BT123" s="2">
        <v>28</v>
      </c>
      <c r="BU123" s="2">
        <v>15</v>
      </c>
      <c r="BV123" s="2">
        <v>28</v>
      </c>
      <c r="BW123" s="2">
        <v>37</v>
      </c>
      <c r="BX123" s="2">
        <v>36</v>
      </c>
    </row>
    <row r="124" spans="63:76" x14ac:dyDescent="0.25">
      <c r="BK124" s="19" t="s">
        <v>173</v>
      </c>
      <c r="BL124" s="2">
        <v>57</v>
      </c>
      <c r="BM124" s="2">
        <v>7</v>
      </c>
      <c r="BN124" s="2">
        <v>3</v>
      </c>
      <c r="BO124" s="2">
        <v>8</v>
      </c>
      <c r="BP124" s="2">
        <v>32</v>
      </c>
      <c r="BQ124" s="2">
        <v>82</v>
      </c>
      <c r="BR124" s="2">
        <v>106</v>
      </c>
      <c r="BS124" s="2">
        <v>13</v>
      </c>
      <c r="BT124" s="2">
        <v>86</v>
      </c>
      <c r="BU124" s="2">
        <v>41</v>
      </c>
      <c r="BV124" s="2">
        <v>15</v>
      </c>
      <c r="BW124" s="2">
        <v>12</v>
      </c>
      <c r="BX124" s="2">
        <v>21</v>
      </c>
    </row>
    <row r="125" spans="63:76" x14ac:dyDescent="0.25">
      <c r="BK125" s="19" t="s">
        <v>236</v>
      </c>
      <c r="BL125" s="2">
        <v>3</v>
      </c>
      <c r="BM125" s="2">
        <v>3</v>
      </c>
      <c r="BN125" s="2">
        <v>1</v>
      </c>
      <c r="BO125" s="2">
        <v>1</v>
      </c>
      <c r="BP125" s="2">
        <v>4</v>
      </c>
      <c r="BQ125" s="2">
        <v>4</v>
      </c>
      <c r="BR125" s="2">
        <v>1</v>
      </c>
      <c r="BS125" s="2">
        <v>1</v>
      </c>
      <c r="BT125" s="2">
        <v>0</v>
      </c>
      <c r="BU125" s="2">
        <v>1</v>
      </c>
      <c r="BV125" s="2">
        <v>11</v>
      </c>
      <c r="BW125" s="2">
        <v>2</v>
      </c>
      <c r="BX125" s="2">
        <v>0</v>
      </c>
    </row>
    <row r="126" spans="63:76" x14ac:dyDescent="0.25">
      <c r="BK126" s="19" t="s">
        <v>174</v>
      </c>
      <c r="BL126" s="2">
        <v>15</v>
      </c>
      <c r="BM126" s="2">
        <v>2</v>
      </c>
      <c r="BN126" s="2">
        <v>1</v>
      </c>
      <c r="BO126" s="2">
        <v>8</v>
      </c>
      <c r="BP126" s="2">
        <v>3</v>
      </c>
      <c r="BQ126" s="2">
        <v>28</v>
      </c>
      <c r="BR126" s="2">
        <v>24</v>
      </c>
      <c r="BS126" s="2">
        <v>9</v>
      </c>
      <c r="BT126" s="2">
        <v>4</v>
      </c>
      <c r="BU126" s="2">
        <v>10</v>
      </c>
      <c r="BV126" s="2">
        <v>5</v>
      </c>
      <c r="BW126" s="2">
        <v>1</v>
      </c>
      <c r="BX126" s="2">
        <v>11</v>
      </c>
    </row>
    <row r="127" spans="63:76" x14ac:dyDescent="0.25">
      <c r="BK127" s="19" t="s">
        <v>175</v>
      </c>
      <c r="BL127" s="2">
        <v>3</v>
      </c>
      <c r="BM127" s="2">
        <v>19</v>
      </c>
      <c r="BN127" s="2">
        <v>3</v>
      </c>
      <c r="BO127" s="2">
        <v>13</v>
      </c>
      <c r="BP127" s="2">
        <v>9</v>
      </c>
      <c r="BQ127" s="2">
        <v>49</v>
      </c>
      <c r="BR127" s="2">
        <v>11</v>
      </c>
      <c r="BS127" s="2">
        <v>13</v>
      </c>
      <c r="BT127" s="2">
        <v>44</v>
      </c>
      <c r="BU127" s="2">
        <v>21</v>
      </c>
      <c r="BV127" s="2">
        <v>20</v>
      </c>
      <c r="BW127" s="2">
        <v>15</v>
      </c>
      <c r="BX127" s="2">
        <v>6</v>
      </c>
    </row>
    <row r="128" spans="63:76" x14ac:dyDescent="0.25">
      <c r="BK128" s="19" t="s">
        <v>176</v>
      </c>
      <c r="BL128" s="2">
        <v>5</v>
      </c>
      <c r="BM128" s="2">
        <v>58</v>
      </c>
      <c r="BN128" s="2">
        <v>20</v>
      </c>
      <c r="BO128" s="2">
        <v>41</v>
      </c>
      <c r="BP128" s="2">
        <v>46</v>
      </c>
      <c r="BQ128" s="2">
        <v>21</v>
      </c>
      <c r="BR128" s="2">
        <v>34</v>
      </c>
      <c r="BS128" s="2">
        <v>99</v>
      </c>
      <c r="BT128" s="2">
        <v>66</v>
      </c>
      <c r="BU128" s="2">
        <v>50</v>
      </c>
      <c r="BV128" s="2">
        <v>22</v>
      </c>
      <c r="BW128" s="2">
        <v>8</v>
      </c>
      <c r="BX128" s="2">
        <v>41</v>
      </c>
    </row>
    <row r="129" spans="63:77" x14ac:dyDescent="0.25">
      <c r="BK129" s="19" t="s">
        <v>177</v>
      </c>
      <c r="BL129" s="2">
        <v>10</v>
      </c>
      <c r="BM129" s="2">
        <v>0</v>
      </c>
      <c r="BN129" s="2">
        <v>9</v>
      </c>
      <c r="BO129" s="2">
        <v>25</v>
      </c>
      <c r="BP129" s="2">
        <v>0</v>
      </c>
      <c r="BQ129" s="2">
        <v>5</v>
      </c>
      <c r="BR129" s="2">
        <v>2</v>
      </c>
      <c r="BS129" s="2">
        <v>21</v>
      </c>
      <c r="BT129" s="2">
        <v>49</v>
      </c>
      <c r="BU129" s="2">
        <v>34</v>
      </c>
      <c r="BV129" s="2">
        <v>4</v>
      </c>
      <c r="BW129" s="2">
        <v>19</v>
      </c>
      <c r="BX129" s="2">
        <v>3</v>
      </c>
    </row>
    <row r="130" spans="63:77" x14ac:dyDescent="0.25">
      <c r="BK130" s="19" t="s">
        <v>178</v>
      </c>
      <c r="BL130" s="2">
        <v>8</v>
      </c>
      <c r="BM130" s="2">
        <v>5</v>
      </c>
      <c r="BN130" s="2">
        <v>10</v>
      </c>
      <c r="BO130" s="2">
        <v>2</v>
      </c>
      <c r="BP130" s="2">
        <v>3</v>
      </c>
      <c r="BQ130" s="2">
        <v>11</v>
      </c>
      <c r="BR130" s="2">
        <v>7</v>
      </c>
      <c r="BS130" s="2">
        <v>4</v>
      </c>
      <c r="BT130" s="2">
        <v>8</v>
      </c>
      <c r="BU130" s="2">
        <v>22</v>
      </c>
      <c r="BV130" s="2">
        <v>4</v>
      </c>
      <c r="BW130" s="2">
        <v>0</v>
      </c>
      <c r="BX130" s="2">
        <v>7</v>
      </c>
    </row>
    <row r="131" spans="63:77" x14ac:dyDescent="0.25">
      <c r="BK131" s="19" t="s">
        <v>179</v>
      </c>
      <c r="BL131" s="2">
        <v>1</v>
      </c>
      <c r="BM131" s="2">
        <v>2</v>
      </c>
      <c r="BN131" s="2">
        <v>5</v>
      </c>
      <c r="BO131" s="2">
        <v>0</v>
      </c>
      <c r="BP131" s="2">
        <v>2</v>
      </c>
      <c r="BQ131" s="2">
        <v>0</v>
      </c>
      <c r="BR131" s="2">
        <v>3</v>
      </c>
      <c r="BS131" s="2">
        <v>8</v>
      </c>
      <c r="BT131" s="2">
        <v>1</v>
      </c>
      <c r="BU131" s="2">
        <v>0</v>
      </c>
      <c r="BV131" s="2">
        <v>4</v>
      </c>
      <c r="BW131" s="2">
        <v>5</v>
      </c>
      <c r="BX131" s="2">
        <v>7</v>
      </c>
    </row>
    <row r="132" spans="63:77" x14ac:dyDescent="0.25">
      <c r="BK132" s="19" t="s">
        <v>180</v>
      </c>
      <c r="BL132" s="2">
        <v>0</v>
      </c>
      <c r="BM132" s="2">
        <v>0</v>
      </c>
      <c r="BN132" s="2">
        <v>0</v>
      </c>
      <c r="BO132" s="2">
        <v>0</v>
      </c>
      <c r="BP132" s="2">
        <v>0</v>
      </c>
      <c r="BQ132" s="2">
        <v>0</v>
      </c>
      <c r="BR132" s="2">
        <v>0</v>
      </c>
      <c r="BS132" s="2">
        <v>0</v>
      </c>
      <c r="BT132" s="2">
        <v>0</v>
      </c>
      <c r="BU132" s="2">
        <v>0</v>
      </c>
      <c r="BV132" s="2">
        <v>0</v>
      </c>
      <c r="BW132" s="2">
        <v>0</v>
      </c>
      <c r="BX132" s="2">
        <v>0</v>
      </c>
    </row>
    <row r="133" spans="63:77" x14ac:dyDescent="0.25">
      <c r="BK133" s="19" t="s">
        <v>181</v>
      </c>
      <c r="BL133" s="2">
        <v>78</v>
      </c>
      <c r="BM133" s="2">
        <v>30</v>
      </c>
      <c r="BN133" s="2">
        <v>9</v>
      </c>
      <c r="BO133" s="2">
        <v>0</v>
      </c>
      <c r="BP133" s="2">
        <v>17</v>
      </c>
      <c r="BQ133" s="2">
        <v>71</v>
      </c>
      <c r="BR133" s="2">
        <v>100</v>
      </c>
      <c r="BS133" s="2">
        <v>2</v>
      </c>
      <c r="BT133" s="2">
        <v>53</v>
      </c>
      <c r="BU133" s="2">
        <v>38</v>
      </c>
      <c r="BV133" s="2">
        <v>22</v>
      </c>
      <c r="BW133" s="2">
        <v>15</v>
      </c>
      <c r="BX133" s="2">
        <v>12</v>
      </c>
    </row>
    <row r="134" spans="63:77" x14ac:dyDescent="0.25">
      <c r="BK134" s="19" t="s">
        <v>182</v>
      </c>
      <c r="BL134" s="2">
        <v>92</v>
      </c>
      <c r="BM134" s="2">
        <v>79</v>
      </c>
      <c r="BN134" s="2">
        <v>57</v>
      </c>
      <c r="BO134" s="2">
        <v>30</v>
      </c>
      <c r="BP134" s="2">
        <v>73</v>
      </c>
      <c r="BQ134" s="2">
        <v>178</v>
      </c>
      <c r="BR134" s="2">
        <v>234</v>
      </c>
      <c r="BS134" s="2">
        <v>242</v>
      </c>
      <c r="BT134" s="2">
        <v>239</v>
      </c>
      <c r="BU134" s="2">
        <v>162</v>
      </c>
      <c r="BV134" s="2">
        <v>112</v>
      </c>
      <c r="BW134" s="2">
        <v>86</v>
      </c>
      <c r="BX134" s="2">
        <v>75</v>
      </c>
    </row>
    <row r="135" spans="63:77" x14ac:dyDescent="0.25">
      <c r="BK135" s="19" t="s">
        <v>183</v>
      </c>
      <c r="BL135" s="2">
        <v>19</v>
      </c>
      <c r="BM135" s="2">
        <v>19</v>
      </c>
      <c r="BN135" s="2">
        <v>10</v>
      </c>
      <c r="BO135" s="2">
        <v>2</v>
      </c>
      <c r="BP135" s="2">
        <v>14</v>
      </c>
      <c r="BQ135" s="2">
        <v>60</v>
      </c>
      <c r="BR135" s="2">
        <v>89</v>
      </c>
      <c r="BS135" s="2">
        <v>59</v>
      </c>
      <c r="BT135" s="2">
        <v>39</v>
      </c>
      <c r="BU135" s="2">
        <v>44</v>
      </c>
      <c r="BV135" s="2">
        <v>25</v>
      </c>
      <c r="BW135" s="2">
        <v>19</v>
      </c>
      <c r="BX135" s="2">
        <v>51</v>
      </c>
    </row>
    <row r="136" spans="63:77" x14ac:dyDescent="0.25">
      <c r="BK136" s="19" t="s">
        <v>184</v>
      </c>
      <c r="BL136" s="2">
        <v>17</v>
      </c>
      <c r="BM136" s="2">
        <v>7</v>
      </c>
      <c r="BN136" s="2">
        <v>14</v>
      </c>
      <c r="BO136" s="2">
        <v>8</v>
      </c>
      <c r="BP136" s="2">
        <v>0</v>
      </c>
      <c r="BQ136" s="2">
        <v>24</v>
      </c>
      <c r="BR136" s="2">
        <v>24</v>
      </c>
      <c r="BS136" s="2">
        <v>22</v>
      </c>
      <c r="BT136" s="2">
        <v>31</v>
      </c>
      <c r="BU136" s="2">
        <v>12</v>
      </c>
      <c r="BV136" s="2">
        <v>12</v>
      </c>
      <c r="BW136" s="2">
        <v>1</v>
      </c>
      <c r="BX136" s="2">
        <v>3</v>
      </c>
    </row>
    <row r="137" spans="63:77" x14ac:dyDescent="0.25">
      <c r="BK137" s="19" t="s">
        <v>185</v>
      </c>
      <c r="BL137" s="2">
        <v>0</v>
      </c>
      <c r="BM137" s="2">
        <v>0</v>
      </c>
      <c r="BN137" s="2">
        <v>0</v>
      </c>
      <c r="BO137" s="2">
        <v>0</v>
      </c>
      <c r="BP137" s="2">
        <v>0</v>
      </c>
      <c r="BQ137" s="2">
        <v>0</v>
      </c>
      <c r="BR137" s="2">
        <v>0</v>
      </c>
      <c r="BS137" s="2">
        <v>0</v>
      </c>
      <c r="BT137" s="2">
        <v>0</v>
      </c>
      <c r="BU137" s="2">
        <v>0</v>
      </c>
      <c r="BV137" s="2">
        <v>0</v>
      </c>
      <c r="BW137" s="2">
        <v>0</v>
      </c>
      <c r="BX137" s="2">
        <v>0</v>
      </c>
    </row>
    <row r="138" spans="63:77" x14ac:dyDescent="0.25">
      <c r="BK138" s="19" t="s">
        <v>186</v>
      </c>
      <c r="BL138" s="2">
        <v>162</v>
      </c>
      <c r="BM138" s="2">
        <v>78</v>
      </c>
      <c r="BN138" s="2">
        <v>65</v>
      </c>
      <c r="BO138" s="2">
        <v>49</v>
      </c>
      <c r="BP138" s="2">
        <v>68</v>
      </c>
      <c r="BQ138" s="2">
        <v>186</v>
      </c>
      <c r="BR138" s="2">
        <v>123</v>
      </c>
      <c r="BS138" s="2">
        <v>120</v>
      </c>
      <c r="BT138" s="2">
        <v>189</v>
      </c>
      <c r="BU138" s="2">
        <v>161</v>
      </c>
      <c r="BV138" s="2">
        <v>147</v>
      </c>
      <c r="BW138" s="2">
        <v>77</v>
      </c>
      <c r="BX138" s="2">
        <v>43</v>
      </c>
    </row>
    <row r="142" spans="63:77" x14ac:dyDescent="0.25">
      <c r="BL142" s="27" t="s">
        <v>44</v>
      </c>
      <c r="BM142" s="27" t="s">
        <v>45</v>
      </c>
      <c r="BN142" s="27" t="s">
        <v>46</v>
      </c>
      <c r="BO142" s="27" t="s">
        <v>47</v>
      </c>
      <c r="BP142" s="27" t="s">
        <v>48</v>
      </c>
      <c r="BQ142" s="27" t="s">
        <v>49</v>
      </c>
      <c r="BR142" s="27" t="s">
        <v>50</v>
      </c>
      <c r="BS142" s="27" t="s">
        <v>51</v>
      </c>
      <c r="BT142" s="27" t="s">
        <v>52</v>
      </c>
      <c r="BU142" s="27" t="s">
        <v>53</v>
      </c>
      <c r="BV142" s="27" t="s">
        <v>54</v>
      </c>
      <c r="BW142" s="27" t="s">
        <v>55</v>
      </c>
      <c r="BX142" s="27" t="s">
        <v>56</v>
      </c>
      <c r="BY142" s="27" t="s">
        <v>57</v>
      </c>
    </row>
    <row r="143" spans="63:77" x14ac:dyDescent="0.25">
      <c r="BL143">
        <f>IF(COUNTIF(BL7:BL140,"&gt;0")=0,"",COUNTIF(BL7:BL140,"&gt;0"))</f>
        <v>104</v>
      </c>
      <c r="BM143">
        <f t="shared" ref="BM143:BQ143" si="24">IF(COUNTIF(BM7:BM140,"&gt;0")=0,"",COUNTIF(BM7:BM140,"&gt;0"))</f>
        <v>105</v>
      </c>
      <c r="BN143">
        <f t="shared" si="24"/>
        <v>105</v>
      </c>
      <c r="BO143">
        <f t="shared" si="24"/>
        <v>101</v>
      </c>
      <c r="BP143">
        <f t="shared" si="24"/>
        <v>102</v>
      </c>
      <c r="BQ143">
        <f t="shared" si="24"/>
        <v>105</v>
      </c>
      <c r="BR143">
        <f t="shared" ref="BR143:BY143" si="25">IF(COUNTIF(BR7:BR140,"&gt;0")=0,"",COUNTIF(BR7:BR140,"&gt;0"))</f>
        <v>116</v>
      </c>
      <c r="BS143">
        <f t="shared" si="25"/>
        <v>107</v>
      </c>
      <c r="BT143">
        <f>IF(COUNTIF(BT7:BT140,"&gt;0")=0,"",COUNTIF(BT7:BT140,"&gt;0"))</f>
        <v>114</v>
      </c>
      <c r="BU143">
        <f t="shared" si="25"/>
        <v>104</v>
      </c>
      <c r="BV143">
        <f t="shared" si="25"/>
        <v>103</v>
      </c>
      <c r="BW143">
        <f t="shared" si="25"/>
        <v>96</v>
      </c>
      <c r="BX143">
        <f t="shared" si="25"/>
        <v>106</v>
      </c>
      <c r="BY143" t="str">
        <f t="shared" si="25"/>
        <v/>
      </c>
    </row>
  </sheetData>
  <pageMargins left="0.7" right="0.7" top="0.75" bottom="0.75" header="0.3" footer="0.3"/>
  <pageSetup orientation="portrait" horizontalDpi="120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 sqref="B1"/>
    </sheetView>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6"/>
  <sheetViews>
    <sheetView topLeftCell="A4" workbookViewId="0">
      <selection activeCell="F12" sqref="F12"/>
    </sheetView>
  </sheetViews>
  <sheetFormatPr defaultRowHeight="15" x14ac:dyDescent="0.25"/>
  <cols>
    <col min="2" max="2" width="13.140625" bestFit="1" customWidth="1"/>
    <col min="3" max="3" width="16.5703125" bestFit="1" customWidth="1"/>
    <col min="4" max="5" width="16.5703125" customWidth="1"/>
    <col min="6" max="6" width="16.28515625" customWidth="1"/>
    <col min="7" max="7" width="7.5703125" customWidth="1"/>
    <col min="8" max="8" width="9.28515625" customWidth="1"/>
    <col min="9" max="9" width="23.140625" customWidth="1"/>
    <col min="10" max="10" width="21.7109375" bestFit="1" customWidth="1"/>
    <col min="11" max="11" width="20.140625" bestFit="1" customWidth="1"/>
    <col min="12" max="12" width="21.42578125" customWidth="1"/>
    <col min="13" max="22" width="11.28515625" customWidth="1"/>
    <col min="26" max="26" width="4.42578125" customWidth="1"/>
    <col min="27" max="27" width="13.140625" bestFit="1" customWidth="1"/>
    <col min="28" max="28" width="16.5703125" bestFit="1" customWidth="1"/>
    <col min="29" max="29" width="3.5703125" customWidth="1"/>
    <col min="30" max="30" width="9.140625" style="10"/>
    <col min="32" max="32" width="13.140625" bestFit="1" customWidth="1"/>
    <col min="33" max="33" width="16.5703125" bestFit="1" customWidth="1"/>
    <col min="34" max="34" width="3.28515625" customWidth="1"/>
    <col min="35" max="35" width="9.140625" style="10"/>
  </cols>
  <sheetData>
    <row r="1" spans="1:35" s="17" customFormat="1" ht="14.45" customHeight="1" x14ac:dyDescent="0.25">
      <c r="A1" s="38"/>
      <c r="B1" s="151" t="s">
        <v>300</v>
      </c>
      <c r="C1" s="151"/>
      <c r="D1" s="38"/>
      <c r="E1" s="152" t="s">
        <v>301</v>
      </c>
      <c r="F1" s="152"/>
      <c r="G1" s="152"/>
      <c r="H1" s="152"/>
      <c r="I1" s="152"/>
      <c r="J1" s="152"/>
      <c r="K1" s="152"/>
      <c r="L1" s="152"/>
      <c r="M1" s="152"/>
      <c r="N1" s="152"/>
      <c r="O1" s="152"/>
      <c r="P1" s="152"/>
      <c r="Q1" s="152"/>
      <c r="R1" s="152"/>
      <c r="S1" s="152"/>
      <c r="T1" s="152"/>
      <c r="U1" s="152"/>
      <c r="V1" s="152"/>
      <c r="W1" s="152"/>
      <c r="X1" s="116"/>
      <c r="Y1" s="38"/>
      <c r="AA1" s="151" t="s">
        <v>302</v>
      </c>
      <c r="AB1" s="151"/>
      <c r="AC1" s="151"/>
      <c r="AD1" s="151"/>
      <c r="AF1" s="151" t="s">
        <v>303</v>
      </c>
      <c r="AG1" s="151"/>
      <c r="AH1" s="151"/>
      <c r="AI1" s="151"/>
    </row>
    <row r="2" spans="1:35" x14ac:dyDescent="0.25">
      <c r="J2" s="43"/>
      <c r="K2" s="43"/>
      <c r="L2" s="43"/>
      <c r="M2" s="43"/>
      <c r="N2" s="43"/>
      <c r="O2" s="43"/>
      <c r="P2" s="43"/>
      <c r="Q2" s="43"/>
      <c r="R2" s="43"/>
      <c r="S2" s="43"/>
      <c r="T2" s="43"/>
      <c r="U2" s="43"/>
      <c r="V2" s="43"/>
      <c r="W2" s="43"/>
      <c r="X2" s="43"/>
      <c r="Y2" s="43"/>
    </row>
    <row r="3" spans="1:35" x14ac:dyDescent="0.25">
      <c r="B3" s="18" t="s">
        <v>41</v>
      </c>
      <c r="C3" t="s" vm="1">
        <v>287</v>
      </c>
      <c r="E3" s="18" t="s">
        <v>41</v>
      </c>
      <c r="F3" t="s" vm="1">
        <v>287</v>
      </c>
      <c r="P3" t="s">
        <v>245</v>
      </c>
      <c r="Q3" t="s">
        <v>42</v>
      </c>
      <c r="R3" t="s">
        <v>1</v>
      </c>
      <c r="S3" t="s">
        <v>241</v>
      </c>
      <c r="T3" t="s">
        <v>282</v>
      </c>
      <c r="U3" t="s">
        <v>238</v>
      </c>
      <c r="V3" t="s">
        <v>239</v>
      </c>
      <c r="W3" t="s">
        <v>285</v>
      </c>
      <c r="X3" t="s">
        <v>284</v>
      </c>
      <c r="AA3" s="18" t="s">
        <v>41</v>
      </c>
      <c r="AB3" t="s" vm="1">
        <v>287</v>
      </c>
      <c r="AF3" s="18" t="s">
        <v>41</v>
      </c>
      <c r="AG3" t="s" vm="1">
        <v>287</v>
      </c>
    </row>
    <row r="4" spans="1:35" x14ac:dyDescent="0.25">
      <c r="P4" s="21" t="s">
        <v>44</v>
      </c>
      <c r="Q4">
        <f>VLOOKUP(P4, $E$7:$M$1048576, 9,FALSE)</f>
        <v>28</v>
      </c>
      <c r="R4">
        <f>VLOOKUP(P4, $E$7:$M$1048576, 3,FALSE)</f>
        <v>0</v>
      </c>
      <c r="S4">
        <f>VLOOKUP(P4, $E$7:$M$1048576, 4,FALSE)</f>
        <v>21</v>
      </c>
      <c r="T4" s="43">
        <f>VLOOKUP(P4, $E$7:$M$1048576, 5,FALSE)</f>
        <v>6</v>
      </c>
      <c r="U4">
        <f>VLOOKUP(P4, $E$7:$M$1048576, 7,FALSE)</f>
        <v>0</v>
      </c>
      <c r="V4">
        <f>VLOOKUP(P4, $E$7:$M$1048576, 8,FALSE)</f>
        <v>1</v>
      </c>
      <c r="W4">
        <f>VLOOKUP(P4, $E$7:$M$1048576, 2,FALSE)</f>
        <v>0</v>
      </c>
      <c r="X4">
        <f>VLOOKUP(P4, $E$7:$M$1048576, 6,FALSE)</f>
        <v>0</v>
      </c>
    </row>
    <row r="5" spans="1:35" x14ac:dyDescent="0.25">
      <c r="B5" s="18" t="s">
        <v>38</v>
      </c>
      <c r="C5" t="s">
        <v>37</v>
      </c>
      <c r="E5" s="18" t="s">
        <v>37</v>
      </c>
      <c r="F5" s="18" t="s">
        <v>43</v>
      </c>
      <c r="P5" s="20" t="s">
        <v>45</v>
      </c>
      <c r="Q5">
        <f t="shared" ref="Q5:Q15" si="0">VLOOKUP(P5, $E$7:$M$1048576, 9,FALSE)</f>
        <v>24</v>
      </c>
      <c r="R5">
        <f t="shared" ref="R5:R16" si="1">VLOOKUP(P5, $E$7:$M$1048576, 3,FALSE)</f>
        <v>0</v>
      </c>
      <c r="S5">
        <f t="shared" ref="S5:S16" si="2">VLOOKUP(P5, $E$7:$M$1048576, 4,FALSE)</f>
        <v>13</v>
      </c>
      <c r="T5" s="43">
        <f t="shared" ref="T5:T14" si="3">VLOOKUP(P5, $E$7:$M$1048576, 5,FALSE)</f>
        <v>8</v>
      </c>
      <c r="U5">
        <f t="shared" ref="U5:U16" si="4">VLOOKUP(P5, $E$7:$M$1048576, 7,FALSE)</f>
        <v>1</v>
      </c>
      <c r="V5">
        <f t="shared" ref="V5:V16" si="5">VLOOKUP(P5, $E$7:$M$1048576, 8,FALSE)</f>
        <v>1</v>
      </c>
      <c r="W5">
        <f t="shared" ref="W5:W16" si="6">VLOOKUP(P5, $E$7:$M$1048576, 2,FALSE)</f>
        <v>0</v>
      </c>
      <c r="X5">
        <f t="shared" ref="X5:X16" si="7">VLOOKUP(P5, $E$7:$M$1048576, 6,FALSE)</f>
        <v>1</v>
      </c>
      <c r="AA5" s="18" t="s">
        <v>38</v>
      </c>
      <c r="AB5" t="s">
        <v>37</v>
      </c>
      <c r="AD5" s="10">
        <f>MAX(AB6:AB1048576)</f>
        <v>10</v>
      </c>
      <c r="AF5" s="18" t="s">
        <v>38</v>
      </c>
      <c r="AG5" t="s">
        <v>37</v>
      </c>
      <c r="AI5" s="10">
        <f>COUNTIF(AG6:AG1048576,"0")</f>
        <v>4</v>
      </c>
    </row>
    <row r="6" spans="1:35" x14ac:dyDescent="0.25">
      <c r="B6" s="19" t="s">
        <v>39</v>
      </c>
      <c r="C6" s="2">
        <v>28</v>
      </c>
      <c r="D6" s="2"/>
      <c r="E6" s="18" t="s">
        <v>38</v>
      </c>
      <c r="F6" t="s">
        <v>329</v>
      </c>
      <c r="G6" t="s">
        <v>1</v>
      </c>
      <c r="H6" t="s">
        <v>241</v>
      </c>
      <c r="I6" t="s">
        <v>286</v>
      </c>
      <c r="J6" t="s">
        <v>330</v>
      </c>
      <c r="K6" t="s">
        <v>237</v>
      </c>
      <c r="L6" t="s">
        <v>331</v>
      </c>
      <c r="M6" t="s">
        <v>40</v>
      </c>
      <c r="P6" s="20" t="s">
        <v>46</v>
      </c>
      <c r="Q6">
        <f t="shared" si="0"/>
        <v>23</v>
      </c>
      <c r="R6">
        <f t="shared" si="1"/>
        <v>0</v>
      </c>
      <c r="S6">
        <f t="shared" si="2"/>
        <v>8</v>
      </c>
      <c r="T6" s="43">
        <f t="shared" si="3"/>
        <v>10</v>
      </c>
      <c r="U6">
        <f t="shared" si="4"/>
        <v>1</v>
      </c>
      <c r="V6">
        <f t="shared" si="5"/>
        <v>0</v>
      </c>
      <c r="W6">
        <f t="shared" si="6"/>
        <v>0</v>
      </c>
      <c r="X6">
        <f t="shared" si="7"/>
        <v>4</v>
      </c>
      <c r="AA6" s="19" t="s">
        <v>293</v>
      </c>
      <c r="AB6" s="2">
        <v>2</v>
      </c>
      <c r="AD6" s="10">
        <f>MATCH(AD5,AB6:AB1048576,0)</f>
        <v>20</v>
      </c>
      <c r="AF6" s="19" t="s">
        <v>293</v>
      </c>
      <c r="AG6" s="2">
        <v>2</v>
      </c>
      <c r="AI6" s="10">
        <f>COUNTA(AG6:AG1048576)</f>
        <v>91</v>
      </c>
    </row>
    <row r="7" spans="1:35" x14ac:dyDescent="0.25">
      <c r="B7" s="19" t="s">
        <v>332</v>
      </c>
      <c r="C7" s="2">
        <v>24</v>
      </c>
      <c r="D7" s="2"/>
      <c r="E7" s="19" t="s">
        <v>44</v>
      </c>
      <c r="F7" s="2">
        <v>0</v>
      </c>
      <c r="G7" s="2">
        <v>0</v>
      </c>
      <c r="H7" s="2">
        <v>21</v>
      </c>
      <c r="I7" s="2">
        <v>6</v>
      </c>
      <c r="J7" s="2">
        <v>0</v>
      </c>
      <c r="K7" s="2">
        <v>0</v>
      </c>
      <c r="L7" s="2">
        <v>1</v>
      </c>
      <c r="M7" s="2">
        <v>28</v>
      </c>
      <c r="N7" s="2"/>
      <c r="O7" s="2"/>
      <c r="P7" s="20" t="s">
        <v>47</v>
      </c>
      <c r="Q7">
        <f t="shared" si="0"/>
        <v>20</v>
      </c>
      <c r="R7">
        <f t="shared" si="1"/>
        <v>0</v>
      </c>
      <c r="S7">
        <f t="shared" si="2"/>
        <v>11</v>
      </c>
      <c r="T7" s="43">
        <f t="shared" si="3"/>
        <v>1</v>
      </c>
      <c r="U7">
        <f t="shared" si="4"/>
        <v>0</v>
      </c>
      <c r="V7">
        <f t="shared" si="5"/>
        <v>1</v>
      </c>
      <c r="W7">
        <f t="shared" si="6"/>
        <v>0</v>
      </c>
      <c r="X7">
        <f t="shared" si="7"/>
        <v>7</v>
      </c>
      <c r="AA7" s="19" t="s">
        <v>294</v>
      </c>
      <c r="AB7" s="2">
        <v>7</v>
      </c>
      <c r="AD7" s="10" t="str">
        <f>INDEX(AA6:AA1048576,AD6,0)</f>
        <v>21/12/19</v>
      </c>
      <c r="AF7" s="19" t="s">
        <v>294</v>
      </c>
      <c r="AG7" s="2">
        <v>7</v>
      </c>
      <c r="AI7" s="22">
        <f>AI5/AI6</f>
        <v>4.3956043956043959E-2</v>
      </c>
    </row>
    <row r="8" spans="1:35" x14ac:dyDescent="0.25">
      <c r="B8" s="19" t="s">
        <v>341</v>
      </c>
      <c r="C8" s="2">
        <v>23</v>
      </c>
      <c r="E8" s="19" t="s">
        <v>53</v>
      </c>
      <c r="F8" s="2">
        <v>0</v>
      </c>
      <c r="G8" s="2">
        <v>0</v>
      </c>
      <c r="H8" s="2">
        <v>13</v>
      </c>
      <c r="I8" s="2">
        <v>0</v>
      </c>
      <c r="J8" s="2">
        <v>8</v>
      </c>
      <c r="K8" s="2">
        <v>3</v>
      </c>
      <c r="L8" s="2">
        <v>2</v>
      </c>
      <c r="M8" s="2">
        <v>26</v>
      </c>
      <c r="N8" s="2"/>
      <c r="O8" s="2"/>
      <c r="P8" s="20" t="s">
        <v>48</v>
      </c>
      <c r="Q8">
        <f t="shared" si="0"/>
        <v>28</v>
      </c>
      <c r="R8">
        <f t="shared" si="1"/>
        <v>0</v>
      </c>
      <c r="S8">
        <f t="shared" si="2"/>
        <v>10</v>
      </c>
      <c r="T8" s="43">
        <f t="shared" si="3"/>
        <v>5</v>
      </c>
      <c r="U8">
        <f t="shared" si="4"/>
        <v>5</v>
      </c>
      <c r="V8">
        <f t="shared" si="5"/>
        <v>3</v>
      </c>
      <c r="W8">
        <f>VLOOKUP(P8, $E$7:$M$1048576, 2,FALSE)</f>
        <v>3</v>
      </c>
      <c r="X8">
        <f t="shared" si="7"/>
        <v>2</v>
      </c>
      <c r="AA8" s="19" t="s">
        <v>295</v>
      </c>
      <c r="AB8" s="2">
        <v>3</v>
      </c>
      <c r="AF8" s="19" t="s">
        <v>295</v>
      </c>
      <c r="AG8" s="2">
        <v>3</v>
      </c>
    </row>
    <row r="9" spans="1:35" x14ac:dyDescent="0.25">
      <c r="B9" s="19" t="s">
        <v>350</v>
      </c>
      <c r="C9" s="2">
        <v>20</v>
      </c>
      <c r="E9" s="19" t="s">
        <v>54</v>
      </c>
      <c r="F9" s="2">
        <v>0</v>
      </c>
      <c r="G9" s="2">
        <v>0</v>
      </c>
      <c r="H9" s="2">
        <v>17</v>
      </c>
      <c r="I9" s="2">
        <v>1</v>
      </c>
      <c r="J9" s="2">
        <v>2</v>
      </c>
      <c r="K9" s="2">
        <v>10</v>
      </c>
      <c r="L9" s="2">
        <v>2</v>
      </c>
      <c r="M9" s="2">
        <v>32</v>
      </c>
      <c r="N9" s="2"/>
      <c r="P9" s="20" t="s">
        <v>49</v>
      </c>
      <c r="Q9">
        <f t="shared" si="0"/>
        <v>27</v>
      </c>
      <c r="R9">
        <f t="shared" si="1"/>
        <v>0</v>
      </c>
      <c r="S9">
        <f t="shared" si="2"/>
        <v>19</v>
      </c>
      <c r="T9" s="43">
        <f t="shared" si="3"/>
        <v>3</v>
      </c>
      <c r="U9">
        <f t="shared" si="4"/>
        <v>2</v>
      </c>
      <c r="V9">
        <f t="shared" si="5"/>
        <v>1</v>
      </c>
      <c r="W9">
        <f t="shared" si="6"/>
        <v>0</v>
      </c>
      <c r="X9">
        <f t="shared" si="7"/>
        <v>2</v>
      </c>
      <c r="AA9" s="19" t="s">
        <v>296</v>
      </c>
      <c r="AB9" s="2">
        <v>4</v>
      </c>
      <c r="AF9" s="19" t="s">
        <v>296</v>
      </c>
      <c r="AG9" s="2">
        <v>4</v>
      </c>
    </row>
    <row r="10" spans="1:35" x14ac:dyDescent="0.25">
      <c r="B10" s="19" t="s">
        <v>359</v>
      </c>
      <c r="C10" s="2">
        <v>28</v>
      </c>
      <c r="E10" s="19" t="s">
        <v>55</v>
      </c>
      <c r="F10" s="2">
        <v>0</v>
      </c>
      <c r="G10" s="2">
        <v>0</v>
      </c>
      <c r="H10" s="2">
        <v>11</v>
      </c>
      <c r="I10" s="2">
        <v>9</v>
      </c>
      <c r="J10" s="2">
        <v>1</v>
      </c>
      <c r="K10" s="2">
        <v>0</v>
      </c>
      <c r="L10" s="2">
        <v>1</v>
      </c>
      <c r="M10" s="2">
        <v>22</v>
      </c>
      <c r="N10" s="2"/>
      <c r="P10" s="20" t="s">
        <v>50</v>
      </c>
      <c r="Q10">
        <f t="shared" si="0"/>
        <v>20</v>
      </c>
      <c r="R10">
        <f t="shared" si="1"/>
        <v>0</v>
      </c>
      <c r="S10">
        <f t="shared" si="2"/>
        <v>12</v>
      </c>
      <c r="T10" s="43">
        <f t="shared" si="3"/>
        <v>3</v>
      </c>
      <c r="U10">
        <f t="shared" si="4"/>
        <v>1</v>
      </c>
      <c r="V10">
        <f t="shared" si="5"/>
        <v>2</v>
      </c>
      <c r="W10">
        <f t="shared" si="6"/>
        <v>0</v>
      </c>
      <c r="X10">
        <f t="shared" si="7"/>
        <v>2</v>
      </c>
      <c r="AA10" s="19" t="s">
        <v>297</v>
      </c>
      <c r="AB10" s="2">
        <v>3</v>
      </c>
      <c r="AF10" s="19" t="s">
        <v>297</v>
      </c>
      <c r="AG10" s="2">
        <v>3</v>
      </c>
    </row>
    <row r="11" spans="1:35" x14ac:dyDescent="0.25">
      <c r="B11" s="19" t="s">
        <v>368</v>
      </c>
      <c r="C11" s="2">
        <v>27</v>
      </c>
      <c r="E11" s="19" t="s">
        <v>56</v>
      </c>
      <c r="F11" s="2">
        <v>0</v>
      </c>
      <c r="G11" s="2">
        <v>0</v>
      </c>
      <c r="H11" s="2">
        <v>14</v>
      </c>
      <c r="I11" s="2">
        <v>8</v>
      </c>
      <c r="J11" s="2">
        <v>0</v>
      </c>
      <c r="K11" s="2">
        <v>1</v>
      </c>
      <c r="L11" s="2">
        <v>1</v>
      </c>
      <c r="M11" s="2">
        <v>24</v>
      </c>
      <c r="N11" s="2"/>
      <c r="P11" s="20" t="s">
        <v>51</v>
      </c>
      <c r="Q11">
        <f t="shared" si="0"/>
        <v>25</v>
      </c>
      <c r="R11">
        <f t="shared" si="1"/>
        <v>0</v>
      </c>
      <c r="S11">
        <f t="shared" si="2"/>
        <v>10</v>
      </c>
      <c r="T11" s="43">
        <f t="shared" si="3"/>
        <v>5</v>
      </c>
      <c r="U11">
        <f t="shared" si="4"/>
        <v>2</v>
      </c>
      <c r="V11">
        <f t="shared" si="5"/>
        <v>3</v>
      </c>
      <c r="W11">
        <f t="shared" si="6"/>
        <v>0</v>
      </c>
      <c r="X11">
        <f t="shared" si="7"/>
        <v>5</v>
      </c>
      <c r="AA11" s="19" t="s">
        <v>298</v>
      </c>
      <c r="AB11" s="2">
        <v>2</v>
      </c>
      <c r="AF11" s="19" t="s">
        <v>298</v>
      </c>
      <c r="AG11" s="2">
        <v>2</v>
      </c>
    </row>
    <row r="12" spans="1:35" x14ac:dyDescent="0.25">
      <c r="B12" s="19" t="s">
        <v>377</v>
      </c>
      <c r="C12" s="2">
        <v>20</v>
      </c>
      <c r="E12" s="19" t="s">
        <v>45</v>
      </c>
      <c r="F12" s="2">
        <v>0</v>
      </c>
      <c r="G12" s="2">
        <v>0</v>
      </c>
      <c r="H12" s="2">
        <v>13</v>
      </c>
      <c r="I12" s="2">
        <v>8</v>
      </c>
      <c r="J12" s="2">
        <v>1</v>
      </c>
      <c r="K12" s="2">
        <v>1</v>
      </c>
      <c r="L12" s="2">
        <v>1</v>
      </c>
      <c r="M12" s="2">
        <v>24</v>
      </c>
      <c r="N12" s="2"/>
      <c r="P12" s="20" t="s">
        <v>52</v>
      </c>
      <c r="Q12">
        <f t="shared" si="0"/>
        <v>14</v>
      </c>
      <c r="R12">
        <f t="shared" si="1"/>
        <v>0</v>
      </c>
      <c r="S12">
        <f t="shared" si="2"/>
        <v>10</v>
      </c>
      <c r="T12" s="43">
        <f t="shared" si="3"/>
        <v>2</v>
      </c>
      <c r="U12">
        <f t="shared" si="4"/>
        <v>2</v>
      </c>
      <c r="V12">
        <f t="shared" si="5"/>
        <v>0</v>
      </c>
      <c r="W12">
        <f t="shared" si="6"/>
        <v>0</v>
      </c>
      <c r="X12">
        <f t="shared" si="7"/>
        <v>0</v>
      </c>
      <c r="AA12" s="19" t="s">
        <v>299</v>
      </c>
      <c r="AB12" s="2">
        <v>7</v>
      </c>
      <c r="AF12" s="19" t="s">
        <v>299</v>
      </c>
      <c r="AG12" s="2">
        <v>7</v>
      </c>
    </row>
    <row r="13" spans="1:35" x14ac:dyDescent="0.25">
      <c r="B13" s="19" t="s">
        <v>386</v>
      </c>
      <c r="C13" s="2">
        <v>25</v>
      </c>
      <c r="E13" s="19" t="s">
        <v>46</v>
      </c>
      <c r="F13" s="2">
        <v>0</v>
      </c>
      <c r="G13" s="2">
        <v>0</v>
      </c>
      <c r="H13" s="2">
        <v>8</v>
      </c>
      <c r="I13" s="2">
        <v>10</v>
      </c>
      <c r="J13" s="2">
        <v>4</v>
      </c>
      <c r="K13" s="2">
        <v>1</v>
      </c>
      <c r="L13" s="2">
        <v>0</v>
      </c>
      <c r="M13" s="2">
        <v>23</v>
      </c>
      <c r="N13" s="2"/>
      <c r="P13" s="20" t="s">
        <v>53</v>
      </c>
      <c r="Q13">
        <f t="shared" si="0"/>
        <v>26</v>
      </c>
      <c r="R13">
        <f t="shared" si="1"/>
        <v>0</v>
      </c>
      <c r="S13">
        <f t="shared" si="2"/>
        <v>13</v>
      </c>
      <c r="T13" s="43">
        <f t="shared" si="3"/>
        <v>0</v>
      </c>
      <c r="U13">
        <f t="shared" si="4"/>
        <v>3</v>
      </c>
      <c r="V13">
        <f t="shared" si="5"/>
        <v>2</v>
      </c>
      <c r="W13">
        <f t="shared" si="6"/>
        <v>0</v>
      </c>
      <c r="X13">
        <f t="shared" si="7"/>
        <v>8</v>
      </c>
      <c r="AA13" s="19" t="s">
        <v>333</v>
      </c>
      <c r="AB13" s="2">
        <v>4</v>
      </c>
      <c r="AF13" s="19" t="s">
        <v>333</v>
      </c>
      <c r="AG13" s="2">
        <v>4</v>
      </c>
    </row>
    <row r="14" spans="1:35" x14ac:dyDescent="0.25">
      <c r="B14" s="19" t="s">
        <v>395</v>
      </c>
      <c r="C14" s="2">
        <v>14</v>
      </c>
      <c r="E14" s="19" t="s">
        <v>47</v>
      </c>
      <c r="F14" s="2">
        <v>0</v>
      </c>
      <c r="G14" s="2">
        <v>0</v>
      </c>
      <c r="H14" s="2">
        <v>11</v>
      </c>
      <c r="I14" s="2">
        <v>1</v>
      </c>
      <c r="J14" s="2">
        <v>7</v>
      </c>
      <c r="K14" s="2">
        <v>0</v>
      </c>
      <c r="L14" s="2">
        <v>1</v>
      </c>
      <c r="M14" s="2">
        <v>20</v>
      </c>
      <c r="N14" s="2"/>
      <c r="P14" s="20" t="s">
        <v>54</v>
      </c>
      <c r="Q14">
        <f t="shared" si="0"/>
        <v>32</v>
      </c>
      <c r="R14">
        <f t="shared" si="1"/>
        <v>0</v>
      </c>
      <c r="S14">
        <f t="shared" si="2"/>
        <v>17</v>
      </c>
      <c r="T14" s="43">
        <f t="shared" si="3"/>
        <v>1</v>
      </c>
      <c r="U14">
        <f t="shared" si="4"/>
        <v>10</v>
      </c>
      <c r="V14">
        <f t="shared" si="5"/>
        <v>2</v>
      </c>
      <c r="W14">
        <f t="shared" si="6"/>
        <v>0</v>
      </c>
      <c r="X14">
        <f t="shared" si="7"/>
        <v>2</v>
      </c>
      <c r="AA14" s="19" t="s">
        <v>334</v>
      </c>
      <c r="AB14" s="2">
        <v>2</v>
      </c>
      <c r="AF14" s="19" t="s">
        <v>334</v>
      </c>
      <c r="AG14" s="2">
        <v>2</v>
      </c>
    </row>
    <row r="15" spans="1:35" x14ac:dyDescent="0.25">
      <c r="B15" s="19" t="s">
        <v>404</v>
      </c>
      <c r="C15" s="2">
        <v>26</v>
      </c>
      <c r="E15" s="19" t="s">
        <v>48</v>
      </c>
      <c r="F15" s="2">
        <v>3</v>
      </c>
      <c r="G15" s="2">
        <v>0</v>
      </c>
      <c r="H15" s="2">
        <v>10</v>
      </c>
      <c r="I15" s="2">
        <v>5</v>
      </c>
      <c r="J15" s="2">
        <v>2</v>
      </c>
      <c r="K15" s="2">
        <v>5</v>
      </c>
      <c r="L15" s="2">
        <v>3</v>
      </c>
      <c r="M15" s="2">
        <v>28</v>
      </c>
      <c r="N15" s="2"/>
      <c r="P15" s="20" t="s">
        <v>55</v>
      </c>
      <c r="Q15">
        <f t="shared" si="0"/>
        <v>22</v>
      </c>
      <c r="R15">
        <f t="shared" si="1"/>
        <v>0</v>
      </c>
      <c r="S15">
        <f t="shared" si="2"/>
        <v>11</v>
      </c>
      <c r="T15" s="43">
        <f>VLOOKUP(P15, $E$7:$M$1048576, 5,FALSE)</f>
        <v>9</v>
      </c>
      <c r="U15">
        <f t="shared" si="4"/>
        <v>0</v>
      </c>
      <c r="V15">
        <f t="shared" si="5"/>
        <v>1</v>
      </c>
      <c r="W15">
        <f t="shared" si="6"/>
        <v>0</v>
      </c>
      <c r="X15">
        <f t="shared" si="7"/>
        <v>1</v>
      </c>
      <c r="AA15" s="19" t="s">
        <v>335</v>
      </c>
      <c r="AB15" s="2">
        <v>6</v>
      </c>
      <c r="AF15" s="19" t="s">
        <v>335</v>
      </c>
      <c r="AG15" s="2">
        <v>6</v>
      </c>
    </row>
    <row r="16" spans="1:35" x14ac:dyDescent="0.25">
      <c r="B16" s="19" t="s">
        <v>413</v>
      </c>
      <c r="C16" s="2">
        <v>32</v>
      </c>
      <c r="E16" s="19" t="s">
        <v>49</v>
      </c>
      <c r="F16" s="2">
        <v>0</v>
      </c>
      <c r="G16" s="2">
        <v>0</v>
      </c>
      <c r="H16" s="2">
        <v>19</v>
      </c>
      <c r="I16" s="2">
        <v>3</v>
      </c>
      <c r="J16" s="2">
        <v>2</v>
      </c>
      <c r="K16" s="2">
        <v>2</v>
      </c>
      <c r="L16" s="2">
        <v>1</v>
      </c>
      <c r="M16" s="2">
        <v>27</v>
      </c>
      <c r="N16" s="2"/>
      <c r="P16" s="20" t="s">
        <v>56</v>
      </c>
      <c r="Q16">
        <f>VLOOKUP(P16, $E$7:$M$1048576, 9,FALSE)</f>
        <v>24</v>
      </c>
      <c r="R16">
        <f t="shared" si="1"/>
        <v>0</v>
      </c>
      <c r="S16">
        <f t="shared" si="2"/>
        <v>14</v>
      </c>
      <c r="T16" s="43">
        <f>VLOOKUP(P16, $E$7:$M$1048576, 5,FALSE)</f>
        <v>8</v>
      </c>
      <c r="U16">
        <f t="shared" si="4"/>
        <v>1</v>
      </c>
      <c r="V16">
        <f t="shared" si="5"/>
        <v>1</v>
      </c>
      <c r="W16">
        <f t="shared" si="6"/>
        <v>0</v>
      </c>
      <c r="X16">
        <f t="shared" si="7"/>
        <v>0</v>
      </c>
      <c r="AA16" s="19" t="s">
        <v>336</v>
      </c>
      <c r="AB16" s="2">
        <v>5</v>
      </c>
      <c r="AF16" s="19" t="s">
        <v>336</v>
      </c>
      <c r="AG16" s="2">
        <v>5</v>
      </c>
    </row>
    <row r="17" spans="2:33" x14ac:dyDescent="0.25">
      <c r="B17" s="19" t="s">
        <v>422</v>
      </c>
      <c r="C17" s="2">
        <v>22</v>
      </c>
      <c r="E17" s="19" t="s">
        <v>50</v>
      </c>
      <c r="F17" s="2">
        <v>0</v>
      </c>
      <c r="G17" s="2">
        <v>0</v>
      </c>
      <c r="H17" s="2">
        <v>12</v>
      </c>
      <c r="I17" s="2">
        <v>3</v>
      </c>
      <c r="J17" s="2">
        <v>2</v>
      </c>
      <c r="K17" s="2">
        <v>1</v>
      </c>
      <c r="L17" s="2">
        <v>2</v>
      </c>
      <c r="M17" s="2">
        <v>20</v>
      </c>
      <c r="N17" s="2"/>
      <c r="P17" s="20"/>
      <c r="T17" s="43"/>
      <c r="W17" s="121"/>
      <c r="AA17" s="19" t="s">
        <v>337</v>
      </c>
      <c r="AB17" s="2">
        <v>0</v>
      </c>
      <c r="AF17" s="19" t="s">
        <v>337</v>
      </c>
      <c r="AG17" s="2">
        <v>0</v>
      </c>
    </row>
    <row r="18" spans="2:33" x14ac:dyDescent="0.25">
      <c r="B18" s="19" t="s">
        <v>431</v>
      </c>
      <c r="C18" s="2">
        <v>24</v>
      </c>
      <c r="E18" s="19" t="s">
        <v>51</v>
      </c>
      <c r="F18" s="2">
        <v>0</v>
      </c>
      <c r="G18" s="2">
        <v>0</v>
      </c>
      <c r="H18" s="2">
        <v>10</v>
      </c>
      <c r="I18" s="2">
        <v>5</v>
      </c>
      <c r="J18" s="2">
        <v>5</v>
      </c>
      <c r="K18" s="2">
        <v>2</v>
      </c>
      <c r="L18" s="2">
        <v>3</v>
      </c>
      <c r="M18" s="2">
        <v>25</v>
      </c>
      <c r="N18" s="2"/>
      <c r="AA18" s="19" t="s">
        <v>338</v>
      </c>
      <c r="AB18" s="2">
        <v>2</v>
      </c>
      <c r="AF18" s="19" t="s">
        <v>338</v>
      </c>
      <c r="AG18" s="2">
        <v>2</v>
      </c>
    </row>
    <row r="19" spans="2:33" x14ac:dyDescent="0.25">
      <c r="B19" s="19" t="s">
        <v>40</v>
      </c>
      <c r="C19" s="2">
        <v>313</v>
      </c>
      <c r="E19" s="19" t="s">
        <v>52</v>
      </c>
      <c r="F19" s="2">
        <v>0</v>
      </c>
      <c r="G19" s="2">
        <v>0</v>
      </c>
      <c r="H19" s="2">
        <v>10</v>
      </c>
      <c r="I19" s="2">
        <v>2</v>
      </c>
      <c r="J19" s="2">
        <v>0</v>
      </c>
      <c r="K19" s="2">
        <v>2</v>
      </c>
      <c r="L19" s="2">
        <v>0</v>
      </c>
      <c r="M19" s="2">
        <v>14</v>
      </c>
      <c r="N19" s="2"/>
      <c r="AA19" s="19" t="s">
        <v>339</v>
      </c>
      <c r="AB19" s="2">
        <v>5</v>
      </c>
      <c r="AF19" s="19" t="s">
        <v>339</v>
      </c>
      <c r="AG19" s="2">
        <v>5</v>
      </c>
    </row>
    <row r="20" spans="2:33" x14ac:dyDescent="0.25">
      <c r="E20" s="19" t="s">
        <v>40</v>
      </c>
      <c r="F20" s="2">
        <v>3</v>
      </c>
      <c r="G20" s="2">
        <v>0</v>
      </c>
      <c r="H20" s="2">
        <v>169</v>
      </c>
      <c r="I20" s="2">
        <v>61</v>
      </c>
      <c r="J20" s="2">
        <v>34</v>
      </c>
      <c r="K20" s="2">
        <v>28</v>
      </c>
      <c r="L20" s="2">
        <v>18</v>
      </c>
      <c r="M20" s="2">
        <v>313</v>
      </c>
      <c r="N20" s="2"/>
      <c r="AA20" s="19" t="s">
        <v>342</v>
      </c>
      <c r="AB20" s="2">
        <v>1</v>
      </c>
      <c r="AF20" s="19" t="s">
        <v>342</v>
      </c>
      <c r="AG20" s="2">
        <v>1</v>
      </c>
    </row>
    <row r="21" spans="2:33" x14ac:dyDescent="0.25">
      <c r="AA21" s="19" t="s">
        <v>343</v>
      </c>
      <c r="AB21" s="2">
        <v>0</v>
      </c>
      <c r="AF21" s="19" t="s">
        <v>343</v>
      </c>
      <c r="AG21" s="2">
        <v>0</v>
      </c>
    </row>
    <row r="22" spans="2:33" x14ac:dyDescent="0.25">
      <c r="AA22" s="19" t="s">
        <v>344</v>
      </c>
      <c r="AB22" s="2">
        <v>3</v>
      </c>
      <c r="AF22" s="19" t="s">
        <v>344</v>
      </c>
      <c r="AG22" s="2">
        <v>3</v>
      </c>
    </row>
    <row r="23" spans="2:33" x14ac:dyDescent="0.25">
      <c r="AA23" s="19" t="s">
        <v>345</v>
      </c>
      <c r="AB23" s="2">
        <v>3</v>
      </c>
      <c r="AF23" s="19" t="s">
        <v>345</v>
      </c>
      <c r="AG23" s="2">
        <v>3</v>
      </c>
    </row>
    <row r="24" spans="2:33" x14ac:dyDescent="0.25">
      <c r="AA24" s="19" t="s">
        <v>346</v>
      </c>
      <c r="AB24" s="2">
        <v>4</v>
      </c>
      <c r="AF24" s="19" t="s">
        <v>346</v>
      </c>
      <c r="AG24" s="2">
        <v>4</v>
      </c>
    </row>
    <row r="25" spans="2:33" x14ac:dyDescent="0.25">
      <c r="AA25" s="19" t="s">
        <v>347</v>
      </c>
      <c r="AB25" s="2">
        <v>10</v>
      </c>
      <c r="AF25" s="19" t="s">
        <v>347</v>
      </c>
      <c r="AG25" s="2">
        <v>10</v>
      </c>
    </row>
    <row r="26" spans="2:33" x14ac:dyDescent="0.25">
      <c r="AA26" s="19" t="s">
        <v>348</v>
      </c>
      <c r="AB26" s="2">
        <v>2</v>
      </c>
      <c r="AF26" s="19" t="s">
        <v>348</v>
      </c>
      <c r="AG26" s="2">
        <v>2</v>
      </c>
    </row>
    <row r="27" spans="2:33" x14ac:dyDescent="0.25">
      <c r="AA27" s="19" t="s">
        <v>351</v>
      </c>
      <c r="AB27" s="2">
        <v>2</v>
      </c>
      <c r="AF27" s="19" t="s">
        <v>351</v>
      </c>
      <c r="AG27" s="2">
        <v>2</v>
      </c>
    </row>
    <row r="28" spans="2:33" x14ac:dyDescent="0.25">
      <c r="AA28" s="19" t="s">
        <v>352</v>
      </c>
      <c r="AB28" s="2">
        <v>0</v>
      </c>
      <c r="AF28" s="19" t="s">
        <v>352</v>
      </c>
      <c r="AG28" s="2">
        <v>0</v>
      </c>
    </row>
    <row r="29" spans="2:33" x14ac:dyDescent="0.25">
      <c r="AA29" s="19" t="s">
        <v>353</v>
      </c>
      <c r="AB29" s="2">
        <v>2</v>
      </c>
      <c r="AF29" s="19" t="s">
        <v>353</v>
      </c>
      <c r="AG29" s="2">
        <v>2</v>
      </c>
    </row>
    <row r="30" spans="2:33" x14ac:dyDescent="0.25">
      <c r="AA30" s="19" t="s">
        <v>354</v>
      </c>
      <c r="AB30" s="2">
        <v>2</v>
      </c>
      <c r="AF30" s="19" t="s">
        <v>354</v>
      </c>
      <c r="AG30" s="2">
        <v>2</v>
      </c>
    </row>
    <row r="31" spans="2:33" x14ac:dyDescent="0.25">
      <c r="AA31" s="19" t="s">
        <v>355</v>
      </c>
      <c r="AB31" s="2">
        <v>2</v>
      </c>
      <c r="AF31" s="19" t="s">
        <v>355</v>
      </c>
      <c r="AG31" s="2">
        <v>2</v>
      </c>
    </row>
    <row r="32" spans="2:33" x14ac:dyDescent="0.25">
      <c r="AA32" s="19" t="s">
        <v>356</v>
      </c>
      <c r="AB32" s="2">
        <v>3</v>
      </c>
      <c r="AF32" s="19" t="s">
        <v>356</v>
      </c>
      <c r="AG32" s="2">
        <v>3</v>
      </c>
    </row>
    <row r="33" spans="27:33" x14ac:dyDescent="0.25">
      <c r="AA33" s="19" t="s">
        <v>357</v>
      </c>
      <c r="AB33" s="2">
        <v>9</v>
      </c>
      <c r="AF33" s="19" t="s">
        <v>357</v>
      </c>
      <c r="AG33" s="2">
        <v>9</v>
      </c>
    </row>
    <row r="34" spans="27:33" x14ac:dyDescent="0.25">
      <c r="AA34" s="19" t="s">
        <v>360</v>
      </c>
      <c r="AB34" s="2">
        <v>4</v>
      </c>
      <c r="AF34" s="19" t="s">
        <v>360</v>
      </c>
      <c r="AG34" s="2">
        <v>4</v>
      </c>
    </row>
    <row r="35" spans="27:33" x14ac:dyDescent="0.25">
      <c r="AA35" s="19" t="s">
        <v>361</v>
      </c>
      <c r="AB35" s="2">
        <v>4</v>
      </c>
      <c r="AF35" s="19" t="s">
        <v>361</v>
      </c>
      <c r="AG35" s="2">
        <v>4</v>
      </c>
    </row>
    <row r="36" spans="27:33" x14ac:dyDescent="0.25">
      <c r="AA36" s="19" t="s">
        <v>362</v>
      </c>
      <c r="AB36" s="2">
        <v>4</v>
      </c>
      <c r="AF36" s="19" t="s">
        <v>362</v>
      </c>
      <c r="AG36" s="2">
        <v>4</v>
      </c>
    </row>
    <row r="37" spans="27:33" x14ac:dyDescent="0.25">
      <c r="AA37" s="19" t="s">
        <v>363</v>
      </c>
      <c r="AB37" s="2">
        <v>4</v>
      </c>
      <c r="AF37" s="19" t="s">
        <v>363</v>
      </c>
      <c r="AG37" s="2">
        <v>4</v>
      </c>
    </row>
    <row r="38" spans="27:33" x14ac:dyDescent="0.25">
      <c r="AA38" s="19" t="s">
        <v>364</v>
      </c>
      <c r="AB38" s="2">
        <v>5</v>
      </c>
      <c r="AF38" s="19" t="s">
        <v>364</v>
      </c>
      <c r="AG38" s="2">
        <v>5</v>
      </c>
    </row>
    <row r="39" spans="27:33" x14ac:dyDescent="0.25">
      <c r="AA39" s="19" t="s">
        <v>365</v>
      </c>
      <c r="AB39" s="2">
        <v>3</v>
      </c>
      <c r="AF39" s="19" t="s">
        <v>365</v>
      </c>
      <c r="AG39" s="2">
        <v>3</v>
      </c>
    </row>
    <row r="40" spans="27:33" x14ac:dyDescent="0.25">
      <c r="AA40" s="19" t="s">
        <v>366</v>
      </c>
      <c r="AB40" s="2">
        <v>4</v>
      </c>
      <c r="AF40" s="19" t="s">
        <v>366</v>
      </c>
      <c r="AG40" s="2">
        <v>4</v>
      </c>
    </row>
    <row r="41" spans="27:33" x14ac:dyDescent="0.25">
      <c r="AA41" s="19" t="s">
        <v>369</v>
      </c>
      <c r="AB41" s="2">
        <v>9</v>
      </c>
      <c r="AF41" s="19" t="s">
        <v>369</v>
      </c>
      <c r="AG41" s="2">
        <v>9</v>
      </c>
    </row>
    <row r="42" spans="27:33" x14ac:dyDescent="0.25">
      <c r="AA42" s="19" t="s">
        <v>370</v>
      </c>
      <c r="AB42" s="2">
        <v>1</v>
      </c>
      <c r="AF42" s="19" t="s">
        <v>370</v>
      </c>
      <c r="AG42" s="2">
        <v>1</v>
      </c>
    </row>
    <row r="43" spans="27:33" x14ac:dyDescent="0.25">
      <c r="AA43" s="19" t="s">
        <v>371</v>
      </c>
      <c r="AB43" s="2">
        <v>4</v>
      </c>
      <c r="AF43" s="19" t="s">
        <v>371</v>
      </c>
      <c r="AG43" s="2">
        <v>4</v>
      </c>
    </row>
    <row r="44" spans="27:33" x14ac:dyDescent="0.25">
      <c r="AA44" s="19" t="s">
        <v>372</v>
      </c>
      <c r="AB44" s="2">
        <v>1</v>
      </c>
      <c r="AF44" s="19" t="s">
        <v>372</v>
      </c>
      <c r="AG44" s="2">
        <v>1</v>
      </c>
    </row>
    <row r="45" spans="27:33" x14ac:dyDescent="0.25">
      <c r="AA45" s="19" t="s">
        <v>373</v>
      </c>
      <c r="AB45" s="2">
        <v>5</v>
      </c>
      <c r="AF45" s="19" t="s">
        <v>373</v>
      </c>
      <c r="AG45" s="2">
        <v>5</v>
      </c>
    </row>
    <row r="46" spans="27:33" x14ac:dyDescent="0.25">
      <c r="AA46" s="19" t="s">
        <v>374</v>
      </c>
      <c r="AB46" s="2">
        <v>3</v>
      </c>
      <c r="AF46" s="19" t="s">
        <v>374</v>
      </c>
      <c r="AG46" s="2">
        <v>3</v>
      </c>
    </row>
    <row r="47" spans="27:33" x14ac:dyDescent="0.25">
      <c r="AA47" s="19" t="s">
        <v>375</v>
      </c>
      <c r="AB47" s="2">
        <v>4</v>
      </c>
      <c r="AF47" s="19" t="s">
        <v>375</v>
      </c>
      <c r="AG47" s="2">
        <v>4</v>
      </c>
    </row>
    <row r="48" spans="27:33" x14ac:dyDescent="0.25">
      <c r="AA48" s="19" t="s">
        <v>378</v>
      </c>
      <c r="AB48" s="2">
        <v>3</v>
      </c>
      <c r="AF48" s="19" t="s">
        <v>378</v>
      </c>
      <c r="AG48" s="2">
        <v>3</v>
      </c>
    </row>
    <row r="49" spans="27:33" x14ac:dyDescent="0.25">
      <c r="AA49" s="19" t="s">
        <v>379</v>
      </c>
      <c r="AB49" s="2">
        <v>3</v>
      </c>
      <c r="AF49" s="19" t="s">
        <v>379</v>
      </c>
      <c r="AG49" s="2">
        <v>3</v>
      </c>
    </row>
    <row r="50" spans="27:33" x14ac:dyDescent="0.25">
      <c r="AA50" s="19" t="s">
        <v>380</v>
      </c>
      <c r="AB50" s="2">
        <v>4</v>
      </c>
      <c r="AF50" s="19" t="s">
        <v>380</v>
      </c>
      <c r="AG50" s="2">
        <v>4</v>
      </c>
    </row>
    <row r="51" spans="27:33" x14ac:dyDescent="0.25">
      <c r="AA51" s="19" t="s">
        <v>381</v>
      </c>
      <c r="AB51" s="2">
        <v>3</v>
      </c>
      <c r="AF51" s="19" t="s">
        <v>381</v>
      </c>
      <c r="AG51" s="2">
        <v>3</v>
      </c>
    </row>
    <row r="52" spans="27:33" x14ac:dyDescent="0.25">
      <c r="AA52" s="19" t="s">
        <v>382</v>
      </c>
      <c r="AB52" s="2">
        <v>3</v>
      </c>
      <c r="AF52" s="19" t="s">
        <v>382</v>
      </c>
      <c r="AG52" s="2">
        <v>3</v>
      </c>
    </row>
    <row r="53" spans="27:33" x14ac:dyDescent="0.25">
      <c r="AA53" s="19" t="s">
        <v>383</v>
      </c>
      <c r="AB53" s="2">
        <v>2</v>
      </c>
      <c r="AF53" s="19" t="s">
        <v>383</v>
      </c>
      <c r="AG53" s="2">
        <v>2</v>
      </c>
    </row>
    <row r="54" spans="27:33" x14ac:dyDescent="0.25">
      <c r="AA54" s="19" t="s">
        <v>384</v>
      </c>
      <c r="AB54" s="2">
        <v>2</v>
      </c>
      <c r="AF54" s="19" t="s">
        <v>384</v>
      </c>
      <c r="AG54" s="2">
        <v>2</v>
      </c>
    </row>
    <row r="55" spans="27:33" x14ac:dyDescent="0.25">
      <c r="AA55" s="19" t="s">
        <v>387</v>
      </c>
      <c r="AB55" s="2">
        <v>4</v>
      </c>
      <c r="AF55" s="19" t="s">
        <v>387</v>
      </c>
      <c r="AG55" s="2">
        <v>4</v>
      </c>
    </row>
    <row r="56" spans="27:33" x14ac:dyDescent="0.25">
      <c r="AA56" s="19" t="s">
        <v>388</v>
      </c>
      <c r="AB56" s="2">
        <v>3</v>
      </c>
      <c r="AF56" s="19" t="s">
        <v>388</v>
      </c>
      <c r="AG56" s="2">
        <v>3</v>
      </c>
    </row>
    <row r="57" spans="27:33" x14ac:dyDescent="0.25">
      <c r="AA57" s="19" t="s">
        <v>389</v>
      </c>
      <c r="AB57" s="2">
        <v>7</v>
      </c>
      <c r="AF57" s="19" t="s">
        <v>389</v>
      </c>
      <c r="AG57" s="2">
        <v>7</v>
      </c>
    </row>
    <row r="58" spans="27:33" x14ac:dyDescent="0.25">
      <c r="AA58" s="19" t="s">
        <v>390</v>
      </c>
      <c r="AB58" s="2">
        <v>2</v>
      </c>
      <c r="AF58" s="19" t="s">
        <v>390</v>
      </c>
      <c r="AG58" s="2">
        <v>2</v>
      </c>
    </row>
    <row r="59" spans="27:33" x14ac:dyDescent="0.25">
      <c r="AA59" s="19" t="s">
        <v>391</v>
      </c>
      <c r="AB59" s="2">
        <v>3</v>
      </c>
      <c r="AF59" s="19" t="s">
        <v>391</v>
      </c>
      <c r="AG59" s="2">
        <v>3</v>
      </c>
    </row>
    <row r="60" spans="27:33" x14ac:dyDescent="0.25">
      <c r="AA60" s="19" t="s">
        <v>392</v>
      </c>
      <c r="AB60" s="2">
        <v>1</v>
      </c>
      <c r="AF60" s="19" t="s">
        <v>392</v>
      </c>
      <c r="AG60" s="2">
        <v>1</v>
      </c>
    </row>
    <row r="61" spans="27:33" x14ac:dyDescent="0.25">
      <c r="AA61" s="19" t="s">
        <v>393</v>
      </c>
      <c r="AB61" s="2">
        <v>5</v>
      </c>
      <c r="AF61" s="19" t="s">
        <v>393</v>
      </c>
      <c r="AG61" s="2">
        <v>5</v>
      </c>
    </row>
    <row r="62" spans="27:33" x14ac:dyDescent="0.25">
      <c r="AA62" s="19" t="s">
        <v>396</v>
      </c>
      <c r="AB62" s="2">
        <v>2</v>
      </c>
      <c r="AF62" s="19" t="s">
        <v>396</v>
      </c>
      <c r="AG62" s="2">
        <v>2</v>
      </c>
    </row>
    <row r="63" spans="27:33" x14ac:dyDescent="0.25">
      <c r="AA63" s="19" t="s">
        <v>397</v>
      </c>
      <c r="AB63" s="2">
        <v>1</v>
      </c>
      <c r="AF63" s="19" t="s">
        <v>397</v>
      </c>
      <c r="AG63" s="2">
        <v>1</v>
      </c>
    </row>
    <row r="64" spans="27:33" x14ac:dyDescent="0.25">
      <c r="AA64" s="19" t="s">
        <v>398</v>
      </c>
      <c r="AB64" s="2">
        <v>3</v>
      </c>
      <c r="AF64" s="19" t="s">
        <v>398</v>
      </c>
      <c r="AG64" s="2">
        <v>3</v>
      </c>
    </row>
    <row r="65" spans="27:33" x14ac:dyDescent="0.25">
      <c r="AA65" s="19" t="s">
        <v>399</v>
      </c>
      <c r="AB65" s="2">
        <v>3</v>
      </c>
      <c r="AF65" s="19" t="s">
        <v>399</v>
      </c>
      <c r="AG65" s="2">
        <v>3</v>
      </c>
    </row>
    <row r="66" spans="27:33" x14ac:dyDescent="0.25">
      <c r="AA66" s="19" t="s">
        <v>400</v>
      </c>
      <c r="AB66" s="2">
        <v>1</v>
      </c>
      <c r="AF66" s="19" t="s">
        <v>400</v>
      </c>
      <c r="AG66" s="2">
        <v>1</v>
      </c>
    </row>
    <row r="67" spans="27:33" x14ac:dyDescent="0.25">
      <c r="AA67" s="19" t="s">
        <v>401</v>
      </c>
      <c r="AB67" s="2">
        <v>2</v>
      </c>
      <c r="AF67" s="19" t="s">
        <v>401</v>
      </c>
      <c r="AG67" s="2">
        <v>2</v>
      </c>
    </row>
    <row r="68" spans="27:33" x14ac:dyDescent="0.25">
      <c r="AA68" s="19" t="s">
        <v>402</v>
      </c>
      <c r="AB68" s="2">
        <v>2</v>
      </c>
      <c r="AF68" s="19" t="s">
        <v>402</v>
      </c>
      <c r="AG68" s="2">
        <v>2</v>
      </c>
    </row>
    <row r="69" spans="27:33" x14ac:dyDescent="0.25">
      <c r="AA69" s="19" t="s">
        <v>405</v>
      </c>
      <c r="AB69" s="2">
        <v>0</v>
      </c>
      <c r="AF69" s="19" t="s">
        <v>405</v>
      </c>
      <c r="AG69" s="2">
        <v>0</v>
      </c>
    </row>
    <row r="70" spans="27:33" x14ac:dyDescent="0.25">
      <c r="AA70" s="19" t="s">
        <v>406</v>
      </c>
      <c r="AB70" s="2">
        <v>4</v>
      </c>
      <c r="AF70" s="19" t="s">
        <v>406</v>
      </c>
      <c r="AG70" s="2">
        <v>4</v>
      </c>
    </row>
    <row r="71" spans="27:33" x14ac:dyDescent="0.25">
      <c r="AA71" s="19" t="s">
        <v>407</v>
      </c>
      <c r="AB71" s="2">
        <v>6</v>
      </c>
      <c r="AF71" s="19" t="s">
        <v>407</v>
      </c>
      <c r="AG71" s="2">
        <v>6</v>
      </c>
    </row>
    <row r="72" spans="27:33" x14ac:dyDescent="0.25">
      <c r="AA72" s="19" t="s">
        <v>408</v>
      </c>
      <c r="AB72" s="2">
        <v>4</v>
      </c>
      <c r="AF72" s="19" t="s">
        <v>408</v>
      </c>
      <c r="AG72" s="2">
        <v>4</v>
      </c>
    </row>
    <row r="73" spans="27:33" x14ac:dyDescent="0.25">
      <c r="AA73" s="19" t="s">
        <v>409</v>
      </c>
      <c r="AB73" s="2">
        <v>3</v>
      </c>
      <c r="AF73" s="19" t="s">
        <v>409</v>
      </c>
      <c r="AG73" s="2">
        <v>3</v>
      </c>
    </row>
    <row r="74" spans="27:33" x14ac:dyDescent="0.25">
      <c r="AA74" s="19" t="s">
        <v>410</v>
      </c>
      <c r="AB74" s="2">
        <v>3</v>
      </c>
      <c r="AF74" s="19" t="s">
        <v>410</v>
      </c>
      <c r="AG74" s="2">
        <v>3</v>
      </c>
    </row>
    <row r="75" spans="27:33" x14ac:dyDescent="0.25">
      <c r="AA75" s="19" t="s">
        <v>411</v>
      </c>
      <c r="AB75" s="2">
        <v>6</v>
      </c>
      <c r="AF75" s="19" t="s">
        <v>411</v>
      </c>
      <c r="AG75" s="2">
        <v>6</v>
      </c>
    </row>
    <row r="76" spans="27:33" x14ac:dyDescent="0.25">
      <c r="AA76" s="19" t="s">
        <v>414</v>
      </c>
      <c r="AB76" s="2">
        <v>4</v>
      </c>
      <c r="AF76" s="19" t="s">
        <v>414</v>
      </c>
      <c r="AG76" s="2">
        <v>4</v>
      </c>
    </row>
    <row r="77" spans="27:33" x14ac:dyDescent="0.25">
      <c r="AA77" s="19" t="s">
        <v>415</v>
      </c>
      <c r="AB77" s="2">
        <v>2</v>
      </c>
      <c r="AF77" s="19" t="s">
        <v>415</v>
      </c>
      <c r="AG77" s="2">
        <v>2</v>
      </c>
    </row>
    <row r="78" spans="27:33" x14ac:dyDescent="0.25">
      <c r="AA78" s="19" t="s">
        <v>416</v>
      </c>
      <c r="AB78" s="2">
        <v>1</v>
      </c>
      <c r="AF78" s="19" t="s">
        <v>416</v>
      </c>
      <c r="AG78" s="2">
        <v>1</v>
      </c>
    </row>
    <row r="79" spans="27:33" x14ac:dyDescent="0.25">
      <c r="AA79" s="19" t="s">
        <v>417</v>
      </c>
      <c r="AB79" s="2">
        <v>1</v>
      </c>
      <c r="AF79" s="19" t="s">
        <v>417</v>
      </c>
      <c r="AG79" s="2">
        <v>1</v>
      </c>
    </row>
    <row r="80" spans="27:33" x14ac:dyDescent="0.25">
      <c r="AA80" s="19" t="s">
        <v>418</v>
      </c>
      <c r="AB80" s="2">
        <v>8</v>
      </c>
      <c r="AF80" s="19" t="s">
        <v>418</v>
      </c>
      <c r="AG80" s="2">
        <v>8</v>
      </c>
    </row>
    <row r="81" spans="27:33" x14ac:dyDescent="0.25">
      <c r="AA81" s="19" t="s">
        <v>419</v>
      </c>
      <c r="AB81" s="2">
        <v>9</v>
      </c>
      <c r="AF81" s="19" t="s">
        <v>419</v>
      </c>
      <c r="AG81" s="2">
        <v>9</v>
      </c>
    </row>
    <row r="82" spans="27:33" x14ac:dyDescent="0.25">
      <c r="AA82" s="19" t="s">
        <v>420</v>
      </c>
      <c r="AB82" s="2">
        <v>7</v>
      </c>
      <c r="AF82" s="19" t="s">
        <v>420</v>
      </c>
      <c r="AG82" s="2">
        <v>7</v>
      </c>
    </row>
    <row r="83" spans="27:33" x14ac:dyDescent="0.25">
      <c r="AA83" s="19" t="s">
        <v>423</v>
      </c>
      <c r="AB83" s="2">
        <v>7</v>
      </c>
      <c r="AF83" s="19" t="s">
        <v>423</v>
      </c>
      <c r="AG83" s="2">
        <v>7</v>
      </c>
    </row>
    <row r="84" spans="27:33" x14ac:dyDescent="0.25">
      <c r="AA84" s="19" t="s">
        <v>424</v>
      </c>
      <c r="AB84" s="2">
        <v>3</v>
      </c>
      <c r="AF84" s="19" t="s">
        <v>424</v>
      </c>
      <c r="AG84" s="2">
        <v>3</v>
      </c>
    </row>
    <row r="85" spans="27:33" x14ac:dyDescent="0.25">
      <c r="AA85" s="19" t="s">
        <v>425</v>
      </c>
      <c r="AB85" s="2">
        <v>4</v>
      </c>
      <c r="AF85" s="19" t="s">
        <v>425</v>
      </c>
      <c r="AG85" s="2">
        <v>4</v>
      </c>
    </row>
    <row r="86" spans="27:33" x14ac:dyDescent="0.25">
      <c r="AA86" s="19" t="s">
        <v>426</v>
      </c>
      <c r="AB86" s="2">
        <v>2</v>
      </c>
      <c r="AF86" s="19" t="s">
        <v>426</v>
      </c>
      <c r="AG86" s="2">
        <v>2</v>
      </c>
    </row>
    <row r="87" spans="27:33" x14ac:dyDescent="0.25">
      <c r="AA87" s="19" t="s">
        <v>427</v>
      </c>
      <c r="AB87" s="2">
        <v>2</v>
      </c>
      <c r="AF87" s="19" t="s">
        <v>427</v>
      </c>
      <c r="AG87" s="2">
        <v>2</v>
      </c>
    </row>
    <row r="88" spans="27:33" x14ac:dyDescent="0.25">
      <c r="AA88" s="19" t="s">
        <v>428</v>
      </c>
      <c r="AB88" s="2">
        <v>1</v>
      </c>
      <c r="AF88" s="19" t="s">
        <v>428</v>
      </c>
      <c r="AG88" s="2">
        <v>1</v>
      </c>
    </row>
    <row r="89" spans="27:33" x14ac:dyDescent="0.25">
      <c r="AA89" s="19" t="s">
        <v>429</v>
      </c>
      <c r="AB89" s="2">
        <v>3</v>
      </c>
      <c r="AF89" s="19" t="s">
        <v>429</v>
      </c>
      <c r="AG89" s="2">
        <v>3</v>
      </c>
    </row>
    <row r="90" spans="27:33" x14ac:dyDescent="0.25">
      <c r="AA90" s="19" t="s">
        <v>432</v>
      </c>
      <c r="AB90" s="2">
        <v>5</v>
      </c>
      <c r="AF90" s="19" t="s">
        <v>432</v>
      </c>
      <c r="AG90" s="2">
        <v>5</v>
      </c>
    </row>
    <row r="91" spans="27:33" x14ac:dyDescent="0.25">
      <c r="AA91" s="19" t="s">
        <v>433</v>
      </c>
      <c r="AB91" s="2">
        <v>3</v>
      </c>
      <c r="AF91" s="19" t="s">
        <v>433</v>
      </c>
      <c r="AG91" s="2">
        <v>3</v>
      </c>
    </row>
    <row r="92" spans="27:33" x14ac:dyDescent="0.25">
      <c r="AA92" s="19" t="s">
        <v>434</v>
      </c>
      <c r="AB92" s="2">
        <v>1</v>
      </c>
      <c r="AF92" s="19" t="s">
        <v>434</v>
      </c>
      <c r="AG92" s="2">
        <v>1</v>
      </c>
    </row>
    <row r="93" spans="27:33" x14ac:dyDescent="0.25">
      <c r="AA93" s="19" t="s">
        <v>435</v>
      </c>
      <c r="AB93" s="2">
        <v>2</v>
      </c>
      <c r="AF93" s="19" t="s">
        <v>435</v>
      </c>
      <c r="AG93" s="2">
        <v>2</v>
      </c>
    </row>
    <row r="94" spans="27:33" x14ac:dyDescent="0.25">
      <c r="AA94" s="19" t="s">
        <v>436</v>
      </c>
      <c r="AB94" s="2">
        <v>4</v>
      </c>
      <c r="AF94" s="19" t="s">
        <v>436</v>
      </c>
      <c r="AG94" s="2">
        <v>4</v>
      </c>
    </row>
    <row r="95" spans="27:33" x14ac:dyDescent="0.25">
      <c r="AA95" s="19" t="s">
        <v>437</v>
      </c>
      <c r="AB95" s="2">
        <v>2</v>
      </c>
      <c r="AF95" s="19" t="s">
        <v>437</v>
      </c>
      <c r="AG95" s="2">
        <v>2</v>
      </c>
    </row>
    <row r="96" spans="27:33" x14ac:dyDescent="0.25">
      <c r="AA96" s="19" t="s">
        <v>438</v>
      </c>
      <c r="AB96" s="2">
        <v>7</v>
      </c>
      <c r="AF96" s="19" t="s">
        <v>438</v>
      </c>
      <c r="AG96" s="2">
        <v>7</v>
      </c>
    </row>
  </sheetData>
  <sheetProtection password="E879" sheet="1" objects="1" scenarios="1"/>
  <mergeCells count="4">
    <mergeCell ref="AF1:AI1"/>
    <mergeCell ref="AA1:AD1"/>
    <mergeCell ref="B1:C1"/>
    <mergeCell ref="E1:W1"/>
  </mergeCell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O97"/>
  <sheetViews>
    <sheetView topLeftCell="AY1" zoomScaleNormal="100" workbookViewId="0">
      <selection activeCell="L8" sqref="L8"/>
    </sheetView>
  </sheetViews>
  <sheetFormatPr defaultRowHeight="15" x14ac:dyDescent="0.25"/>
  <cols>
    <col min="2" max="2" width="13.140625" bestFit="1" customWidth="1"/>
    <col min="3" max="3" width="10.140625" bestFit="1" customWidth="1"/>
    <col min="4" max="4" width="9.85546875" bestFit="1" customWidth="1"/>
    <col min="5" max="5" width="8" customWidth="1"/>
    <col min="10" max="10" width="5.85546875" customWidth="1"/>
    <col min="12" max="12" width="13.140625" bestFit="1" customWidth="1"/>
    <col min="13" max="13" width="10.140625" bestFit="1" customWidth="1"/>
    <col min="14" max="14" width="9.85546875" bestFit="1" customWidth="1"/>
    <col min="15" max="15" width="6" customWidth="1"/>
    <col min="23" max="23" width="13.140625" bestFit="1" customWidth="1"/>
    <col min="24" max="24" width="16.28515625" bestFit="1" customWidth="1"/>
    <col min="25" max="25" width="9.85546875" bestFit="1" customWidth="1"/>
    <col min="26" max="26" width="7" customWidth="1"/>
    <col min="27" max="27" width="8" customWidth="1"/>
    <col min="28" max="28" width="9.85546875" bestFit="1" customWidth="1"/>
    <col min="29" max="29" width="8" customWidth="1"/>
    <col min="30" max="30" width="9.28515625" customWidth="1"/>
    <col min="31" max="31" width="9.85546875" bestFit="1" customWidth="1"/>
    <col min="32" max="32" width="8" customWidth="1"/>
    <col min="33" max="33" width="23.140625" bestFit="1" customWidth="1"/>
    <col min="34" max="34" width="9.85546875" bestFit="1" customWidth="1"/>
    <col min="35" max="35" width="8" customWidth="1"/>
    <col min="36" max="36" width="21.7109375" bestFit="1" customWidth="1"/>
    <col min="37" max="37" width="9.85546875" bestFit="1" customWidth="1"/>
    <col min="38" max="38" width="8" customWidth="1"/>
    <col min="39" max="39" width="20.140625" customWidth="1"/>
    <col min="40" max="40" width="9.85546875" customWidth="1"/>
    <col min="41" max="41" width="8" customWidth="1"/>
    <col min="42" max="42" width="21.42578125" customWidth="1"/>
    <col min="43" max="43" width="9.85546875" customWidth="1"/>
    <col min="44" max="44" width="7" customWidth="1"/>
    <col min="45" max="45" width="10" customWidth="1"/>
    <col min="46" max="46" width="14.85546875" customWidth="1"/>
    <col min="47" max="55" width="10.28515625" customWidth="1"/>
    <col min="56" max="57" width="9.140625" customWidth="1"/>
    <col min="59" max="59" width="13.140625" bestFit="1" customWidth="1"/>
    <col min="60" max="60" width="10.140625" bestFit="1" customWidth="1"/>
    <col min="61" max="61" width="9.85546875" bestFit="1" customWidth="1"/>
    <col min="62" max="62" width="6" customWidth="1"/>
  </cols>
  <sheetData>
    <row r="1" spans="2:67" x14ac:dyDescent="0.25">
      <c r="B1" s="152" t="s">
        <v>304</v>
      </c>
      <c r="C1" s="152"/>
      <c r="D1" s="152"/>
      <c r="E1" s="152"/>
      <c r="F1" s="152"/>
      <c r="G1" s="152"/>
      <c r="H1" s="152"/>
      <c r="I1" s="152"/>
      <c r="J1" s="38"/>
      <c r="K1" s="38"/>
      <c r="L1" s="151" t="s">
        <v>305</v>
      </c>
      <c r="M1" s="151"/>
      <c r="N1" s="151"/>
      <c r="O1" s="151"/>
      <c r="P1" s="151"/>
      <c r="Q1" s="151"/>
      <c r="R1" s="151"/>
      <c r="S1" s="151"/>
      <c r="T1" s="151"/>
      <c r="U1" s="38"/>
      <c r="V1" s="38"/>
      <c r="W1" s="151" t="s">
        <v>306</v>
      </c>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38"/>
    </row>
    <row r="3" spans="2:67" x14ac:dyDescent="0.25">
      <c r="B3" s="18" t="s">
        <v>41</v>
      </c>
      <c r="C3" t="s" vm="1">
        <v>287</v>
      </c>
      <c r="G3" s="153" t="s">
        <v>219</v>
      </c>
      <c r="H3" s="153"/>
      <c r="I3" s="153"/>
      <c r="L3" s="18" t="s">
        <v>41</v>
      </c>
      <c r="M3" t="s" vm="1">
        <v>287</v>
      </c>
      <c r="Q3" s="37" t="s">
        <v>221</v>
      </c>
      <c r="R3" s="35">
        <f>MAX(M6:M1048576)</f>
        <v>94549</v>
      </c>
      <c r="S3" s="35">
        <f>MATCH(R3,M6:M1048576,0)</f>
        <v>85</v>
      </c>
      <c r="T3" s="35" t="str">
        <f>INDEX(L6:L1048576,S3)</f>
        <v>24/02/20</v>
      </c>
      <c r="W3" s="18" t="s">
        <v>41</v>
      </c>
      <c r="X3" t="s" vm="1">
        <v>287</v>
      </c>
    </row>
    <row r="4" spans="2:67" x14ac:dyDescent="0.25">
      <c r="F4" s="42"/>
      <c r="G4" s="42" t="s">
        <v>221</v>
      </c>
      <c r="H4" s="42" t="s">
        <v>223</v>
      </c>
      <c r="I4" s="42" t="s">
        <v>36</v>
      </c>
      <c r="J4" s="10"/>
      <c r="K4" s="42"/>
      <c r="P4" s="42"/>
      <c r="Q4" s="37" t="s">
        <v>223</v>
      </c>
      <c r="R4" s="35">
        <f>MAX(N6:N1048576, 0)</f>
        <v>4872</v>
      </c>
      <c r="S4" s="35">
        <f>MATCH(R4,N6:N1048576,0)</f>
        <v>36</v>
      </c>
      <c r="T4" s="35" t="str">
        <f>INDEX(L6:L1048576,S4)</f>
        <v>06/01/20</v>
      </c>
      <c r="BG4" s="18" t="s">
        <v>41</v>
      </c>
      <c r="BH4" t="s" vm="1">
        <v>287</v>
      </c>
    </row>
    <row r="5" spans="2:67" x14ac:dyDescent="0.25">
      <c r="B5" s="18" t="s">
        <v>38</v>
      </c>
      <c r="C5" t="s">
        <v>221</v>
      </c>
      <c r="D5" t="s">
        <v>223</v>
      </c>
      <c r="E5" t="s">
        <v>36</v>
      </c>
      <c r="F5" s="42"/>
      <c r="G5" s="35">
        <f>C6/4</f>
        <v>163630</v>
      </c>
      <c r="H5" s="35">
        <f>D6/4</f>
        <v>5551.25</v>
      </c>
      <c r="I5" s="35">
        <f>E6/4</f>
        <v>169181.25</v>
      </c>
      <c r="J5" s="35"/>
      <c r="K5" s="42"/>
      <c r="L5" s="18" t="s">
        <v>38</v>
      </c>
      <c r="M5" t="s">
        <v>221</v>
      </c>
      <c r="N5" t="s">
        <v>223</v>
      </c>
      <c r="O5" t="s">
        <v>36</v>
      </c>
      <c r="P5" s="42"/>
      <c r="Q5" s="37" t="s">
        <v>36</v>
      </c>
      <c r="R5" s="35">
        <f>MAX(O6:O1048576)</f>
        <v>98983</v>
      </c>
      <c r="S5" s="35">
        <f>MATCH(R5,O6:O1048576,0)</f>
        <v>37</v>
      </c>
      <c r="T5" s="35" t="str">
        <f>INDEX(L6:L1048576,S5)</f>
        <v>07/01/20</v>
      </c>
      <c r="V5" s="42"/>
      <c r="X5" s="18" t="s">
        <v>43</v>
      </c>
      <c r="AW5" s="17" t="s">
        <v>221</v>
      </c>
      <c r="AX5" t="s">
        <v>42</v>
      </c>
      <c r="AY5" s="42" t="s">
        <v>1</v>
      </c>
      <c r="AZ5" s="42" t="s">
        <v>241</v>
      </c>
      <c r="BA5" s="42" t="s">
        <v>282</v>
      </c>
      <c r="BB5" s="42" t="s">
        <v>238</v>
      </c>
      <c r="BC5" s="42" t="s">
        <v>239</v>
      </c>
      <c r="BD5" s="45" t="s">
        <v>285</v>
      </c>
      <c r="BE5" s="42" t="s">
        <v>284</v>
      </c>
    </row>
    <row r="6" spans="2:67" x14ac:dyDescent="0.25">
      <c r="B6" s="19" t="s">
        <v>39</v>
      </c>
      <c r="C6" s="2">
        <v>654520</v>
      </c>
      <c r="D6" s="2">
        <v>22205</v>
      </c>
      <c r="E6" s="2">
        <v>676725</v>
      </c>
      <c r="F6" s="35"/>
      <c r="G6" s="35">
        <f>C7/7</f>
        <v>93719</v>
      </c>
      <c r="H6" s="35">
        <f t="shared" ref="G6:I8" si="0">D7/7</f>
        <v>3348.7142857142858</v>
      </c>
      <c r="I6" s="35">
        <f>E7/7</f>
        <v>97067.71428571429</v>
      </c>
      <c r="J6" s="35"/>
      <c r="K6" s="35"/>
      <c r="L6" s="19" t="s">
        <v>293</v>
      </c>
      <c r="M6" s="2">
        <v>94408</v>
      </c>
      <c r="N6" s="2">
        <v>3334</v>
      </c>
      <c r="O6" s="2">
        <v>97742</v>
      </c>
      <c r="P6" s="35"/>
      <c r="Q6" s="35"/>
      <c r="R6" s="35"/>
      <c r="S6" s="35"/>
      <c r="V6" s="35"/>
      <c r="X6" t="s">
        <v>329</v>
      </c>
      <c r="AA6" t="s">
        <v>1</v>
      </c>
      <c r="AD6" t="s">
        <v>241</v>
      </c>
      <c r="AG6" t="s">
        <v>286</v>
      </c>
      <c r="AJ6" t="s">
        <v>330</v>
      </c>
      <c r="AM6" t="s">
        <v>237</v>
      </c>
      <c r="AP6" t="s">
        <v>331</v>
      </c>
      <c r="AS6" t="s">
        <v>220</v>
      </c>
      <c r="AT6" t="s">
        <v>222</v>
      </c>
      <c r="AU6" t="s">
        <v>224</v>
      </c>
      <c r="AW6" s="42" t="s">
        <v>44</v>
      </c>
      <c r="AX6" s="35">
        <f>(VLOOKUP(AW6,$W$8:$AU$1048576,23,FALSE))/7</f>
        <v>93502.857142857145</v>
      </c>
      <c r="AY6" s="35">
        <f>(VLOOKUP(AW6,$W$8:$AU$1048576,5,FALSE))/7</f>
        <v>13533.285714285714</v>
      </c>
      <c r="AZ6" s="35">
        <f>(VLOOKUP(AW6,$W$8:$AU$1048576,8,FALSE))/7</f>
        <v>17505.857142857141</v>
      </c>
      <c r="BA6" s="35">
        <f>(VLOOKUP(AW6,$W$8:$AU$1048576,11,FALSE))/7</f>
        <v>16506.428571428572</v>
      </c>
      <c r="BB6" s="35">
        <f>(VLOOKUP(AW6,$W$8:$AU$1048576,17,FALSE))/7</f>
        <v>12651.857142857143</v>
      </c>
      <c r="BC6" s="35">
        <f>(VLOOKUP(AW6,$W$8:$AU$1048576,20,FALSE))/7</f>
        <v>9274.2857142857138</v>
      </c>
      <c r="BD6" s="35">
        <f>(VLOOKUP(AW6,$W$8:$AU$1048576,2,FALSE))/7</f>
        <v>9825.1428571428569</v>
      </c>
      <c r="BE6" s="35">
        <f>(VLOOKUP(AW6,$W$8:$AU$1048576,14,FALSE))/7</f>
        <v>14206</v>
      </c>
      <c r="BG6" s="18" t="s">
        <v>38</v>
      </c>
      <c r="BH6" t="s">
        <v>221</v>
      </c>
      <c r="BI6" t="s">
        <v>223</v>
      </c>
      <c r="BJ6" t="s">
        <v>36</v>
      </c>
      <c r="BL6" s="37" t="s">
        <v>221</v>
      </c>
      <c r="BM6" s="35">
        <f>MAX(BH7:BH1048576)</f>
        <v>94549</v>
      </c>
      <c r="BN6" s="35">
        <f>MATCH(BM6,BH7:BH1048576,0)</f>
        <v>85</v>
      </c>
      <c r="BO6" s="35" t="str">
        <f>INDEX(BG7:BG1048576,BN6)</f>
        <v>24/02/20</v>
      </c>
    </row>
    <row r="7" spans="2:67" x14ac:dyDescent="0.25">
      <c r="B7" s="19" t="s">
        <v>332</v>
      </c>
      <c r="C7" s="2">
        <v>656033</v>
      </c>
      <c r="D7" s="2">
        <v>23441</v>
      </c>
      <c r="E7" s="2">
        <v>679474</v>
      </c>
      <c r="F7" s="35"/>
      <c r="G7" s="35">
        <f t="shared" si="0"/>
        <v>93699.28571428571</v>
      </c>
      <c r="H7" s="35">
        <f t="shared" si="0"/>
        <v>3318.5714285714284</v>
      </c>
      <c r="I7" s="35">
        <f t="shared" si="0"/>
        <v>97017.857142857145</v>
      </c>
      <c r="J7" s="35"/>
      <c r="K7" s="35"/>
      <c r="L7" s="19" t="s">
        <v>294</v>
      </c>
      <c r="M7" s="2">
        <v>93480</v>
      </c>
      <c r="N7" s="2">
        <v>3278</v>
      </c>
      <c r="O7" s="2">
        <v>96758</v>
      </c>
      <c r="P7" s="35"/>
      <c r="Q7" s="35"/>
      <c r="R7" s="35"/>
      <c r="S7" s="35"/>
      <c r="V7" s="35"/>
      <c r="W7" s="18" t="s">
        <v>38</v>
      </c>
      <c r="X7" t="s">
        <v>221</v>
      </c>
      <c r="Y7" t="s">
        <v>223</v>
      </c>
      <c r="Z7" t="s">
        <v>36</v>
      </c>
      <c r="AA7" t="s">
        <v>221</v>
      </c>
      <c r="AB7" t="s">
        <v>223</v>
      </c>
      <c r="AC7" t="s">
        <v>36</v>
      </c>
      <c r="AD7" t="s">
        <v>221</v>
      </c>
      <c r="AE7" t="s">
        <v>223</v>
      </c>
      <c r="AF7" t="s">
        <v>36</v>
      </c>
      <c r="AG7" t="s">
        <v>221</v>
      </c>
      <c r="AH7" t="s">
        <v>223</v>
      </c>
      <c r="AI7" t="s">
        <v>36</v>
      </c>
      <c r="AJ7" t="s">
        <v>221</v>
      </c>
      <c r="AK7" t="s">
        <v>223</v>
      </c>
      <c r="AL7" t="s">
        <v>36</v>
      </c>
      <c r="AM7" t="s">
        <v>221</v>
      </c>
      <c r="AN7" t="s">
        <v>223</v>
      </c>
      <c r="AO7" t="s">
        <v>36</v>
      </c>
      <c r="AP7" t="s">
        <v>221</v>
      </c>
      <c r="AQ7" t="s">
        <v>223</v>
      </c>
      <c r="AR7" t="s">
        <v>36</v>
      </c>
      <c r="AW7" s="42" t="s">
        <v>45</v>
      </c>
      <c r="AX7" s="35">
        <f t="shared" ref="AX7:AX18" si="1">(VLOOKUP(AW7,$W$8:$AU$1048576,23,FALSE))/7</f>
        <v>93719</v>
      </c>
      <c r="AY7" s="35">
        <f t="shared" ref="AY7:AY18" si="2">(VLOOKUP(AW7,$W$8:$AU$1048576,5,FALSE))/7</f>
        <v>13575.285714285714</v>
      </c>
      <c r="AZ7" s="35">
        <f t="shared" ref="AZ7:AZ18" si="3">(VLOOKUP(AW7,$W$8:$AU$1048576,8,FALSE))/7</f>
        <v>17521.428571428572</v>
      </c>
      <c r="BA7" s="35">
        <f t="shared" ref="BA7:BA18" si="4">(VLOOKUP(AW7,$W$8:$AU$1048576,8,FALSE))/7</f>
        <v>17521.428571428572</v>
      </c>
      <c r="BB7" s="35">
        <f t="shared" ref="BB7:BB18" si="5">(VLOOKUP(AW7,$W$8:$AU$1048576,17,FALSE))/7</f>
        <v>12893</v>
      </c>
      <c r="BC7" s="35">
        <f t="shared" ref="BC7:BC18" si="6">(VLOOKUP(AW7,$W$8:$AU$1048576,20,FALSE))/7</f>
        <v>9336.8571428571431</v>
      </c>
      <c r="BD7" s="35">
        <f t="shared" ref="BD7:BD17" si="7">(VLOOKUP(AW7,$W$8:$AU$1048576,2,FALSE))/7</f>
        <v>9628.4285714285706</v>
      </c>
      <c r="BE7" s="35">
        <f t="shared" ref="BE7:BE18" si="8">(VLOOKUP(AW7,$W$8:$AU$1048576,14,FALSE))/7</f>
        <v>14246.714285714286</v>
      </c>
      <c r="BG7" s="19" t="s">
        <v>293</v>
      </c>
      <c r="BH7" s="2">
        <v>94408</v>
      </c>
      <c r="BI7" s="2">
        <v>3334</v>
      </c>
      <c r="BJ7" s="2">
        <v>97742</v>
      </c>
      <c r="BL7" s="37" t="s">
        <v>223</v>
      </c>
      <c r="BM7" s="35">
        <f>MAX(BI7:BI1048576,0)</f>
        <v>4872</v>
      </c>
      <c r="BN7" s="35">
        <f>MATCH(BM7,BI7:BI1048576,0)</f>
        <v>36</v>
      </c>
      <c r="BO7" s="35" t="str">
        <f>INDEX(BG7:BG1048576,BN7)</f>
        <v>06/01/20</v>
      </c>
    </row>
    <row r="8" spans="2:67" x14ac:dyDescent="0.25">
      <c r="B8" s="19" t="s">
        <v>341</v>
      </c>
      <c r="C8" s="2">
        <v>655895</v>
      </c>
      <c r="D8" s="2">
        <v>23230</v>
      </c>
      <c r="E8" s="2">
        <v>679125</v>
      </c>
      <c r="F8" s="35"/>
      <c r="G8" s="35">
        <f t="shared" si="0"/>
        <v>93230.428571428565</v>
      </c>
      <c r="H8" s="35">
        <f t="shared" si="0"/>
        <v>2586.2857142857142</v>
      </c>
      <c r="I8" s="35">
        <f t="shared" si="0"/>
        <v>95816.71428571429</v>
      </c>
      <c r="J8" s="35"/>
      <c r="K8" s="35"/>
      <c r="L8" s="19" t="s">
        <v>295</v>
      </c>
      <c r="M8" s="2">
        <v>93482</v>
      </c>
      <c r="N8" s="2">
        <v>3295</v>
      </c>
      <c r="O8" s="2">
        <v>96777</v>
      </c>
      <c r="P8" s="35"/>
      <c r="Q8" s="35"/>
      <c r="R8" s="35"/>
      <c r="S8" s="35"/>
      <c r="V8" s="35"/>
      <c r="W8" s="19" t="s">
        <v>44</v>
      </c>
      <c r="X8" s="2">
        <v>68776</v>
      </c>
      <c r="Y8" s="2">
        <v>2069</v>
      </c>
      <c r="Z8" s="2">
        <v>70845</v>
      </c>
      <c r="AA8" s="2">
        <v>94733</v>
      </c>
      <c r="AB8" s="2">
        <v>2253</v>
      </c>
      <c r="AC8" s="2">
        <v>96986</v>
      </c>
      <c r="AD8" s="2">
        <v>122541</v>
      </c>
      <c r="AE8" s="2">
        <v>4204</v>
      </c>
      <c r="AF8" s="2">
        <v>126745</v>
      </c>
      <c r="AG8" s="2">
        <v>115545</v>
      </c>
      <c r="AH8" s="2">
        <v>4701</v>
      </c>
      <c r="AI8" s="2">
        <v>120246</v>
      </c>
      <c r="AJ8" s="2">
        <v>99442</v>
      </c>
      <c r="AK8" s="2">
        <v>3268</v>
      </c>
      <c r="AL8" s="2">
        <v>102710</v>
      </c>
      <c r="AM8" s="2">
        <v>88563</v>
      </c>
      <c r="AN8" s="2">
        <v>3485</v>
      </c>
      <c r="AO8" s="2">
        <v>92048</v>
      </c>
      <c r="AP8" s="2">
        <v>64920</v>
      </c>
      <c r="AQ8" s="2">
        <v>2225</v>
      </c>
      <c r="AR8" s="2">
        <v>67145</v>
      </c>
      <c r="AS8" s="2">
        <v>654520</v>
      </c>
      <c r="AT8" s="2">
        <v>22205</v>
      </c>
      <c r="AU8" s="2">
        <v>676725</v>
      </c>
      <c r="AV8" s="2"/>
      <c r="AW8" s="42" t="s">
        <v>46</v>
      </c>
      <c r="AX8" s="35">
        <f t="shared" si="1"/>
        <v>93699.28571428571</v>
      </c>
      <c r="AY8" s="35">
        <f t="shared" si="2"/>
        <v>13557.285714285714</v>
      </c>
      <c r="AZ8" s="35">
        <f t="shared" si="3"/>
        <v>17521.857142857141</v>
      </c>
      <c r="BA8" s="35">
        <f t="shared" si="4"/>
        <v>17521.857142857141</v>
      </c>
      <c r="BB8" s="35">
        <f t="shared" si="5"/>
        <v>12884</v>
      </c>
      <c r="BC8" s="35">
        <f t="shared" si="6"/>
        <v>9318.8571428571431</v>
      </c>
      <c r="BD8" s="35">
        <f t="shared" si="7"/>
        <v>9712.5714285714294</v>
      </c>
      <c r="BE8" s="35">
        <f t="shared" si="8"/>
        <v>14212.285714285714</v>
      </c>
      <c r="BG8" s="19" t="s">
        <v>294</v>
      </c>
      <c r="BH8" s="2">
        <v>93480</v>
      </c>
      <c r="BI8" s="2">
        <v>3278</v>
      </c>
      <c r="BJ8" s="2">
        <v>96758</v>
      </c>
      <c r="BL8" s="37" t="s">
        <v>36</v>
      </c>
      <c r="BM8" s="35">
        <f>MAX(BJ7:BJ1048576)</f>
        <v>98983</v>
      </c>
      <c r="BN8" s="35">
        <f>MATCH(BM8,BJ7:BJ1048576,0)</f>
        <v>37</v>
      </c>
      <c r="BO8" s="35" t="str">
        <f>INDEX(BG7:BG1048576,BN8)</f>
        <v>07/01/20</v>
      </c>
    </row>
    <row r="9" spans="2:67" x14ac:dyDescent="0.25">
      <c r="B9" s="19" t="s">
        <v>350</v>
      </c>
      <c r="C9" s="2">
        <v>652613</v>
      </c>
      <c r="D9" s="2">
        <v>18104</v>
      </c>
      <c r="E9" s="2">
        <v>670717</v>
      </c>
      <c r="F9" s="35"/>
      <c r="G9" s="35">
        <f t="shared" ref="G9:G18" si="9">C10/7</f>
        <v>93207.71428571429</v>
      </c>
      <c r="H9" s="35">
        <f>D10/7</f>
        <v>3935.4285714285716</v>
      </c>
      <c r="I9" s="35">
        <f t="shared" ref="I9:I18" si="10">E10/7</f>
        <v>97143.142857142855</v>
      </c>
      <c r="J9" s="35"/>
      <c r="K9" s="35"/>
      <c r="L9" s="19" t="s">
        <v>296</v>
      </c>
      <c r="M9" s="2">
        <v>93557</v>
      </c>
      <c r="N9" s="2">
        <v>3141</v>
      </c>
      <c r="O9" s="2">
        <v>96698</v>
      </c>
      <c r="P9" s="35"/>
      <c r="Q9" s="35"/>
      <c r="R9" s="35"/>
      <c r="S9" s="35"/>
      <c r="V9" s="35"/>
      <c r="W9" s="19" t="s">
        <v>53</v>
      </c>
      <c r="X9" s="2">
        <v>68545</v>
      </c>
      <c r="Y9" s="2">
        <v>3220</v>
      </c>
      <c r="Z9" s="2">
        <v>71765</v>
      </c>
      <c r="AA9" s="2">
        <v>95664</v>
      </c>
      <c r="AB9" s="2">
        <v>2672</v>
      </c>
      <c r="AC9" s="2">
        <v>98336</v>
      </c>
      <c r="AD9" s="2">
        <v>122780</v>
      </c>
      <c r="AE9" s="2">
        <v>5266</v>
      </c>
      <c r="AF9" s="2">
        <v>128046</v>
      </c>
      <c r="AG9" s="2">
        <v>115326</v>
      </c>
      <c r="AH9" s="2">
        <v>5032</v>
      </c>
      <c r="AI9" s="2">
        <v>120358</v>
      </c>
      <c r="AJ9" s="2">
        <v>99360</v>
      </c>
      <c r="AK9" s="2">
        <v>3849</v>
      </c>
      <c r="AL9" s="2">
        <v>103209</v>
      </c>
      <c r="AM9" s="2">
        <v>90145</v>
      </c>
      <c r="AN9" s="2">
        <v>4145</v>
      </c>
      <c r="AO9" s="2">
        <v>94290</v>
      </c>
      <c r="AP9" s="2">
        <v>66137</v>
      </c>
      <c r="AQ9" s="2">
        <v>2842</v>
      </c>
      <c r="AR9" s="2">
        <v>68979</v>
      </c>
      <c r="AS9" s="2">
        <v>657957</v>
      </c>
      <c r="AT9" s="2">
        <v>27026</v>
      </c>
      <c r="AU9" s="2">
        <v>684983</v>
      </c>
      <c r="AV9" s="2"/>
      <c r="AW9" s="42" t="s">
        <v>47</v>
      </c>
      <c r="AX9" s="35">
        <f t="shared" si="1"/>
        <v>93230.428571428565</v>
      </c>
      <c r="AY9" s="35">
        <f t="shared" si="2"/>
        <v>13443</v>
      </c>
      <c r="AZ9" s="35">
        <f t="shared" si="3"/>
        <v>17456.142857142859</v>
      </c>
      <c r="BA9" s="35">
        <f t="shared" si="4"/>
        <v>17456.142857142859</v>
      </c>
      <c r="BB9" s="35">
        <f t="shared" si="5"/>
        <v>12735.714285714286</v>
      </c>
      <c r="BC9" s="35">
        <f t="shared" si="6"/>
        <v>9272.4285714285706</v>
      </c>
      <c r="BD9" s="35">
        <f t="shared" si="7"/>
        <v>9785.1428571428569</v>
      </c>
      <c r="BE9" s="35">
        <f t="shared" si="8"/>
        <v>14116.428571428571</v>
      </c>
      <c r="BG9" s="19" t="s">
        <v>295</v>
      </c>
      <c r="BH9" s="2">
        <v>93482</v>
      </c>
      <c r="BI9" s="2">
        <v>3295</v>
      </c>
      <c r="BJ9" s="2">
        <v>96777</v>
      </c>
    </row>
    <row r="10" spans="2:67" x14ac:dyDescent="0.25">
      <c r="B10" s="19" t="s">
        <v>359</v>
      </c>
      <c r="C10" s="2">
        <v>652454</v>
      </c>
      <c r="D10" s="2">
        <v>27548</v>
      </c>
      <c r="E10" s="2">
        <v>680002</v>
      </c>
      <c r="F10" s="35"/>
      <c r="G10" s="35">
        <f t="shared" si="9"/>
        <v>93977</v>
      </c>
      <c r="H10" s="35">
        <f>D11/7</f>
        <v>4440.5714285714284</v>
      </c>
      <c r="I10" s="35">
        <f t="shared" si="10"/>
        <v>98417.571428571435</v>
      </c>
      <c r="J10" s="35"/>
      <c r="K10" s="35"/>
      <c r="L10" s="19" t="s">
        <v>297</v>
      </c>
      <c r="M10" s="2">
        <v>92890</v>
      </c>
      <c r="N10" s="2">
        <v>2891</v>
      </c>
      <c r="O10" s="2">
        <v>95781</v>
      </c>
      <c r="P10" s="35"/>
      <c r="Q10" s="35"/>
      <c r="R10" s="35"/>
      <c r="S10" s="35"/>
      <c r="V10" s="35"/>
      <c r="W10" s="19" t="s">
        <v>54</v>
      </c>
      <c r="X10" s="2">
        <v>68613</v>
      </c>
      <c r="Y10" s="2">
        <v>2914</v>
      </c>
      <c r="Z10" s="2">
        <v>71527</v>
      </c>
      <c r="AA10" s="2">
        <v>95898</v>
      </c>
      <c r="AB10" s="2">
        <v>2434</v>
      </c>
      <c r="AC10" s="2">
        <v>98332</v>
      </c>
      <c r="AD10" s="2">
        <v>123314</v>
      </c>
      <c r="AE10" s="2">
        <v>4639</v>
      </c>
      <c r="AF10" s="2">
        <v>127953</v>
      </c>
      <c r="AG10" s="2">
        <v>115842</v>
      </c>
      <c r="AH10" s="2">
        <v>4754</v>
      </c>
      <c r="AI10" s="2">
        <v>120596</v>
      </c>
      <c r="AJ10" s="2">
        <v>100145</v>
      </c>
      <c r="AK10" s="2">
        <v>3668</v>
      </c>
      <c r="AL10" s="2">
        <v>103813</v>
      </c>
      <c r="AM10" s="2">
        <v>89943</v>
      </c>
      <c r="AN10" s="2">
        <v>3951</v>
      </c>
      <c r="AO10" s="2">
        <v>93894</v>
      </c>
      <c r="AP10" s="2">
        <v>66149</v>
      </c>
      <c r="AQ10" s="2">
        <v>2757</v>
      </c>
      <c r="AR10" s="2">
        <v>68906</v>
      </c>
      <c r="AS10" s="2">
        <v>659904</v>
      </c>
      <c r="AT10" s="2">
        <v>25117</v>
      </c>
      <c r="AU10" s="2">
        <v>685021</v>
      </c>
      <c r="AV10" s="35"/>
      <c r="AW10" s="20" t="s">
        <v>48</v>
      </c>
      <c r="AX10" s="35">
        <f t="shared" si="1"/>
        <v>93207.71428571429</v>
      </c>
      <c r="AY10" s="35">
        <f t="shared" si="2"/>
        <v>13504.714285714286</v>
      </c>
      <c r="AZ10" s="35">
        <f t="shared" si="3"/>
        <v>17136.857142857141</v>
      </c>
      <c r="BA10" s="35">
        <f t="shared" si="4"/>
        <v>17136.857142857141</v>
      </c>
      <c r="BB10" s="35">
        <f t="shared" si="5"/>
        <v>12787.428571428571</v>
      </c>
      <c r="BC10" s="35">
        <f t="shared" si="6"/>
        <v>9258.4285714285706</v>
      </c>
      <c r="BD10" s="35">
        <f t="shared" si="7"/>
        <v>9796.7142857142862</v>
      </c>
      <c r="BE10" s="35">
        <f t="shared" si="8"/>
        <v>14243.571428571429</v>
      </c>
      <c r="BG10" s="19" t="s">
        <v>296</v>
      </c>
      <c r="BH10" s="2">
        <v>93557</v>
      </c>
      <c r="BI10" s="2">
        <v>3141</v>
      </c>
      <c r="BJ10" s="2">
        <v>96698</v>
      </c>
    </row>
    <row r="11" spans="2:67" x14ac:dyDescent="0.25">
      <c r="B11" s="19" t="s">
        <v>368</v>
      </c>
      <c r="C11" s="2">
        <v>657839</v>
      </c>
      <c r="D11" s="2">
        <v>31084</v>
      </c>
      <c r="E11" s="2">
        <v>688923</v>
      </c>
      <c r="F11" s="35"/>
      <c r="G11" s="35">
        <f t="shared" si="9"/>
        <v>94063.28571428571</v>
      </c>
      <c r="H11" s="35">
        <f t="shared" ref="H11:H18" si="11">D12/7</f>
        <v>4140.7142857142853</v>
      </c>
      <c r="I11" s="35">
        <f t="shared" si="10"/>
        <v>98204</v>
      </c>
      <c r="J11" s="35"/>
      <c r="K11" s="35"/>
      <c r="L11" s="19" t="s">
        <v>298</v>
      </c>
      <c r="M11" s="2">
        <v>93086</v>
      </c>
      <c r="N11" s="2">
        <v>2880</v>
      </c>
      <c r="O11" s="2">
        <v>95966</v>
      </c>
      <c r="P11" s="35"/>
      <c r="Q11" s="35"/>
      <c r="R11" s="35"/>
      <c r="S11" s="35"/>
      <c r="V11" s="35"/>
      <c r="W11" s="19" t="s">
        <v>55</v>
      </c>
      <c r="X11" s="2">
        <v>68538</v>
      </c>
      <c r="Y11" s="2">
        <v>2990</v>
      </c>
      <c r="Z11" s="2">
        <v>71528</v>
      </c>
      <c r="AA11" s="2">
        <v>95278</v>
      </c>
      <c r="AB11" s="2">
        <v>2571</v>
      </c>
      <c r="AC11" s="2">
        <v>97849</v>
      </c>
      <c r="AD11" s="2">
        <v>123961</v>
      </c>
      <c r="AE11" s="2">
        <v>4312</v>
      </c>
      <c r="AF11" s="2">
        <v>128273</v>
      </c>
      <c r="AG11" s="2">
        <v>115965</v>
      </c>
      <c r="AH11" s="2">
        <v>4592</v>
      </c>
      <c r="AI11" s="2">
        <v>120557</v>
      </c>
      <c r="AJ11" s="2">
        <v>100273</v>
      </c>
      <c r="AK11" s="2">
        <v>3498</v>
      </c>
      <c r="AL11" s="2">
        <v>103771</v>
      </c>
      <c r="AM11" s="2">
        <v>89865</v>
      </c>
      <c r="AN11" s="2">
        <v>3883</v>
      </c>
      <c r="AO11" s="2">
        <v>93748</v>
      </c>
      <c r="AP11" s="2">
        <v>66134</v>
      </c>
      <c r="AQ11" s="2">
        <v>2672</v>
      </c>
      <c r="AR11" s="2">
        <v>68806</v>
      </c>
      <c r="AS11" s="2">
        <v>660014</v>
      </c>
      <c r="AT11" s="2">
        <v>24518</v>
      </c>
      <c r="AU11" s="2">
        <v>684532</v>
      </c>
      <c r="AV11" s="35"/>
      <c r="AW11" s="20" t="s">
        <v>49</v>
      </c>
      <c r="AX11" s="35">
        <f t="shared" si="1"/>
        <v>93977</v>
      </c>
      <c r="AY11" s="35">
        <f t="shared" si="2"/>
        <v>13624.857142857143</v>
      </c>
      <c r="AZ11" s="35">
        <f t="shared" si="3"/>
        <v>17535.571428571428</v>
      </c>
      <c r="BA11" s="35">
        <f t="shared" si="4"/>
        <v>17535.571428571428</v>
      </c>
      <c r="BB11" s="35">
        <f t="shared" si="5"/>
        <v>12718.428571428571</v>
      </c>
      <c r="BC11" s="35">
        <f t="shared" si="6"/>
        <v>9379.7142857142862</v>
      </c>
      <c r="BD11" s="35">
        <f t="shared" si="7"/>
        <v>9836.2857142857138</v>
      </c>
      <c r="BE11" s="35">
        <f t="shared" si="8"/>
        <v>14308.857142857143</v>
      </c>
      <c r="BG11" s="19" t="s">
        <v>297</v>
      </c>
      <c r="BH11" s="2">
        <v>92890</v>
      </c>
      <c r="BI11" s="2">
        <v>2891</v>
      </c>
      <c r="BJ11" s="2">
        <v>95781</v>
      </c>
    </row>
    <row r="12" spans="2:67" x14ac:dyDescent="0.25">
      <c r="B12" s="19" t="s">
        <v>377</v>
      </c>
      <c r="C12" s="2">
        <v>658443</v>
      </c>
      <c r="D12" s="2">
        <v>28985</v>
      </c>
      <c r="E12" s="2">
        <v>687428</v>
      </c>
      <c r="F12" s="35"/>
      <c r="G12" s="35">
        <f t="shared" si="9"/>
        <v>94130.142857142855</v>
      </c>
      <c r="H12" s="35">
        <f>D13/7</f>
        <v>3859.8571428571427</v>
      </c>
      <c r="I12" s="35">
        <f t="shared" si="10"/>
        <v>97990</v>
      </c>
      <c r="J12" s="35"/>
      <c r="K12" s="35"/>
      <c r="L12" s="19" t="s">
        <v>299</v>
      </c>
      <c r="M12" s="2">
        <v>93617</v>
      </c>
      <c r="N12" s="2">
        <v>3386</v>
      </c>
      <c r="O12" s="2">
        <v>97003</v>
      </c>
      <c r="P12" s="35"/>
      <c r="Q12" s="35"/>
      <c r="R12" s="35"/>
      <c r="S12" s="35"/>
      <c r="V12" s="35"/>
      <c r="W12" s="19" t="s">
        <v>56</v>
      </c>
      <c r="X12" s="2">
        <v>68440</v>
      </c>
      <c r="Y12" s="2">
        <v>3248</v>
      </c>
      <c r="Z12" s="2">
        <v>71688</v>
      </c>
      <c r="AA12" s="2">
        <v>93206</v>
      </c>
      <c r="AB12" s="2">
        <v>2455</v>
      </c>
      <c r="AC12" s="2">
        <v>95661</v>
      </c>
      <c r="AD12" s="2">
        <v>123957</v>
      </c>
      <c r="AE12" s="2">
        <v>4403</v>
      </c>
      <c r="AF12" s="2">
        <v>128360</v>
      </c>
      <c r="AG12" s="2">
        <v>116000</v>
      </c>
      <c r="AH12" s="2">
        <v>4321</v>
      </c>
      <c r="AI12" s="2">
        <v>120321</v>
      </c>
      <c r="AJ12" s="2">
        <v>100118</v>
      </c>
      <c r="AK12" s="2">
        <v>3636</v>
      </c>
      <c r="AL12" s="2">
        <v>103754</v>
      </c>
      <c r="AM12" s="2">
        <v>90057</v>
      </c>
      <c r="AN12" s="2">
        <v>3918</v>
      </c>
      <c r="AO12" s="2">
        <v>93975</v>
      </c>
      <c r="AP12" s="2">
        <v>66241</v>
      </c>
      <c r="AQ12" s="2">
        <v>2877</v>
      </c>
      <c r="AR12" s="2">
        <v>69118</v>
      </c>
      <c r="AS12" s="2">
        <v>658019</v>
      </c>
      <c r="AT12" s="2">
        <v>24858</v>
      </c>
      <c r="AU12" s="2">
        <v>682877</v>
      </c>
      <c r="AV12" s="35"/>
      <c r="AW12" s="20" t="s">
        <v>50</v>
      </c>
      <c r="AX12" s="35">
        <f t="shared" si="1"/>
        <v>94063.28571428571</v>
      </c>
      <c r="AY12" s="35">
        <f t="shared" si="2"/>
        <v>13660</v>
      </c>
      <c r="AZ12" s="35">
        <f t="shared" si="3"/>
        <v>17568.857142857141</v>
      </c>
      <c r="BA12" s="35">
        <f t="shared" si="4"/>
        <v>17568.857142857141</v>
      </c>
      <c r="BB12" s="35">
        <f t="shared" si="5"/>
        <v>12832</v>
      </c>
      <c r="BC12" s="35">
        <f t="shared" si="6"/>
        <v>9417.1428571428569</v>
      </c>
      <c r="BD12" s="35">
        <f t="shared" si="7"/>
        <v>9832</v>
      </c>
      <c r="BE12" s="35">
        <f t="shared" si="8"/>
        <v>14165.428571428571</v>
      </c>
      <c r="BG12" s="19" t="s">
        <v>298</v>
      </c>
      <c r="BH12" s="2">
        <v>93086</v>
      </c>
      <c r="BI12" s="2">
        <v>2880</v>
      </c>
      <c r="BJ12" s="2">
        <v>95966</v>
      </c>
    </row>
    <row r="13" spans="2:67" x14ac:dyDescent="0.25">
      <c r="B13" s="19" t="s">
        <v>386</v>
      </c>
      <c r="C13" s="2">
        <v>658911</v>
      </c>
      <c r="D13" s="2">
        <v>27019</v>
      </c>
      <c r="E13" s="2">
        <v>685930</v>
      </c>
      <c r="F13" s="35"/>
      <c r="G13" s="35">
        <f t="shared" si="9"/>
        <v>93986.71428571429</v>
      </c>
      <c r="H13" s="35">
        <f t="shared" si="11"/>
        <v>4044.4285714285716</v>
      </c>
      <c r="I13" s="35">
        <f t="shared" si="10"/>
        <v>98031.142857142855</v>
      </c>
      <c r="J13" s="35"/>
      <c r="K13" s="35"/>
      <c r="L13" s="19" t="s">
        <v>333</v>
      </c>
      <c r="M13" s="2">
        <v>93962</v>
      </c>
      <c r="N13" s="2">
        <v>3556</v>
      </c>
      <c r="O13" s="2">
        <v>97518</v>
      </c>
      <c r="P13" s="35"/>
      <c r="Q13" s="35"/>
      <c r="R13" s="35"/>
      <c r="S13" s="35"/>
      <c r="V13" s="35"/>
      <c r="W13" s="19" t="s">
        <v>45</v>
      </c>
      <c r="X13" s="2">
        <v>67399</v>
      </c>
      <c r="Y13" s="2">
        <v>2331</v>
      </c>
      <c r="Z13" s="2">
        <v>69730</v>
      </c>
      <c r="AA13" s="2">
        <v>95027</v>
      </c>
      <c r="AB13" s="2">
        <v>2179</v>
      </c>
      <c r="AC13" s="2">
        <v>97206</v>
      </c>
      <c r="AD13" s="2">
        <v>122650</v>
      </c>
      <c r="AE13" s="2">
        <v>4341</v>
      </c>
      <c r="AF13" s="2">
        <v>126991</v>
      </c>
      <c r="AG13" s="2">
        <v>115621</v>
      </c>
      <c r="AH13" s="2">
        <v>4923</v>
      </c>
      <c r="AI13" s="2">
        <v>120544</v>
      </c>
      <c r="AJ13" s="2">
        <v>99727</v>
      </c>
      <c r="AK13" s="2">
        <v>3648</v>
      </c>
      <c r="AL13" s="2">
        <v>103375</v>
      </c>
      <c r="AM13" s="2">
        <v>90251</v>
      </c>
      <c r="AN13" s="2">
        <v>3758</v>
      </c>
      <c r="AO13" s="2">
        <v>94009</v>
      </c>
      <c r="AP13" s="2">
        <v>65358</v>
      </c>
      <c r="AQ13" s="2">
        <v>2261</v>
      </c>
      <c r="AR13" s="2">
        <v>67619</v>
      </c>
      <c r="AS13" s="2">
        <v>656033</v>
      </c>
      <c r="AT13" s="2">
        <v>23441</v>
      </c>
      <c r="AU13" s="2">
        <v>679474</v>
      </c>
      <c r="AV13" s="35"/>
      <c r="AW13" s="20" t="s">
        <v>51</v>
      </c>
      <c r="AX13" s="35">
        <f t="shared" si="1"/>
        <v>94130.142857142855</v>
      </c>
      <c r="AY13" s="35">
        <f t="shared" si="2"/>
        <v>13679.285714285714</v>
      </c>
      <c r="AZ13" s="35">
        <f t="shared" si="3"/>
        <v>17560.857142857141</v>
      </c>
      <c r="BA13" s="35">
        <f t="shared" si="4"/>
        <v>17560.857142857141</v>
      </c>
      <c r="BB13" s="35">
        <f t="shared" si="5"/>
        <v>12824.857142857143</v>
      </c>
      <c r="BC13" s="35">
        <f t="shared" si="6"/>
        <v>9428.8571428571431</v>
      </c>
      <c r="BD13" s="35">
        <f t="shared" si="7"/>
        <v>9797.4285714285706</v>
      </c>
      <c r="BE13" s="35">
        <f t="shared" si="8"/>
        <v>14294</v>
      </c>
      <c r="BG13" s="19" t="s">
        <v>299</v>
      </c>
      <c r="BH13" s="2">
        <v>93617</v>
      </c>
      <c r="BI13" s="2">
        <v>3386</v>
      </c>
      <c r="BJ13" s="2">
        <v>97003</v>
      </c>
    </row>
    <row r="14" spans="2:67" x14ac:dyDescent="0.25">
      <c r="B14" s="19" t="s">
        <v>395</v>
      </c>
      <c r="C14" s="2">
        <v>657907</v>
      </c>
      <c r="D14" s="2">
        <v>28311</v>
      </c>
      <c r="E14" s="2">
        <v>686218</v>
      </c>
      <c r="F14" s="35"/>
      <c r="G14" s="35">
        <f t="shared" si="9"/>
        <v>93993.857142857145</v>
      </c>
      <c r="H14" s="35">
        <f t="shared" si="11"/>
        <v>3860.8571428571427</v>
      </c>
      <c r="I14" s="35">
        <f t="shared" si="10"/>
        <v>97854.71428571429</v>
      </c>
      <c r="J14" s="35"/>
      <c r="K14" s="35"/>
      <c r="L14" s="19" t="s">
        <v>334</v>
      </c>
      <c r="M14" s="2">
        <v>94035</v>
      </c>
      <c r="N14" s="2">
        <v>3490</v>
      </c>
      <c r="O14" s="2">
        <v>97525</v>
      </c>
      <c r="P14" s="35"/>
      <c r="Q14" s="35"/>
      <c r="R14" s="35"/>
      <c r="S14" s="35"/>
      <c r="V14" s="35"/>
      <c r="W14" s="19" t="s">
        <v>46</v>
      </c>
      <c r="X14" s="2">
        <v>67988</v>
      </c>
      <c r="Y14" s="2">
        <v>2484</v>
      </c>
      <c r="Z14" s="2">
        <v>70472</v>
      </c>
      <c r="AA14" s="2">
        <v>94901</v>
      </c>
      <c r="AB14" s="2">
        <v>2196</v>
      </c>
      <c r="AC14" s="2">
        <v>97097</v>
      </c>
      <c r="AD14" s="2">
        <v>122653</v>
      </c>
      <c r="AE14" s="2">
        <v>4188</v>
      </c>
      <c r="AF14" s="2">
        <v>126841</v>
      </c>
      <c r="AG14" s="2">
        <v>115447</v>
      </c>
      <c r="AH14" s="2">
        <v>4703</v>
      </c>
      <c r="AI14" s="2">
        <v>120150</v>
      </c>
      <c r="AJ14" s="2">
        <v>99486</v>
      </c>
      <c r="AK14" s="2">
        <v>3517</v>
      </c>
      <c r="AL14" s="2">
        <v>103003</v>
      </c>
      <c r="AM14" s="2">
        <v>90188</v>
      </c>
      <c r="AN14" s="2">
        <v>3758</v>
      </c>
      <c r="AO14" s="2">
        <v>93946</v>
      </c>
      <c r="AP14" s="2">
        <v>65232</v>
      </c>
      <c r="AQ14" s="2">
        <v>2384</v>
      </c>
      <c r="AR14" s="2">
        <v>67616</v>
      </c>
      <c r="AS14" s="2">
        <v>655895</v>
      </c>
      <c r="AT14" s="2">
        <v>23230</v>
      </c>
      <c r="AU14" s="2">
        <v>679125</v>
      </c>
      <c r="AV14" s="35"/>
      <c r="AW14" s="20" t="s">
        <v>52</v>
      </c>
      <c r="AX14" s="35">
        <f t="shared" si="1"/>
        <v>93986.71428571429</v>
      </c>
      <c r="AY14" s="35">
        <f>(VLOOKUP(AW14,$W$8:$AU$1048576,5,FALSE))/7</f>
        <v>13692.571428571429</v>
      </c>
      <c r="AZ14" s="35">
        <f t="shared" si="3"/>
        <v>17336.142857142859</v>
      </c>
      <c r="BA14" s="35">
        <f t="shared" si="4"/>
        <v>17336.142857142859</v>
      </c>
      <c r="BB14" s="35">
        <f t="shared" si="5"/>
        <v>12880.714285714286</v>
      </c>
      <c r="BC14" s="35">
        <f t="shared" si="6"/>
        <v>9425.8571428571431</v>
      </c>
      <c r="BD14" s="35">
        <f t="shared" si="7"/>
        <v>9787.1428571428569</v>
      </c>
      <c r="BE14" s="35">
        <f t="shared" si="8"/>
        <v>14327.142857142857</v>
      </c>
      <c r="BG14" s="19" t="s">
        <v>333</v>
      </c>
      <c r="BH14" s="2">
        <v>93962</v>
      </c>
      <c r="BI14" s="2">
        <v>3556</v>
      </c>
      <c r="BJ14" s="2">
        <v>97518</v>
      </c>
    </row>
    <row r="15" spans="2:67" x14ac:dyDescent="0.25">
      <c r="B15" s="19" t="s">
        <v>404</v>
      </c>
      <c r="C15" s="2">
        <v>657957</v>
      </c>
      <c r="D15" s="2">
        <v>27026</v>
      </c>
      <c r="E15" s="2">
        <v>684983</v>
      </c>
      <c r="F15" s="35"/>
      <c r="G15" s="35">
        <f t="shared" si="9"/>
        <v>94272</v>
      </c>
      <c r="H15" s="35">
        <f t="shared" si="11"/>
        <v>3588.1428571428573</v>
      </c>
      <c r="I15" s="35">
        <f t="shared" si="10"/>
        <v>97860.142857142855</v>
      </c>
      <c r="J15" s="35"/>
      <c r="K15" s="35"/>
      <c r="L15" s="19" t="s">
        <v>335</v>
      </c>
      <c r="M15" s="2">
        <v>94030</v>
      </c>
      <c r="N15" s="2">
        <v>3393</v>
      </c>
      <c r="O15" s="2">
        <v>97423</v>
      </c>
      <c r="P15" s="35"/>
      <c r="Q15" s="35"/>
      <c r="R15" s="35"/>
      <c r="S15" s="35"/>
      <c r="V15" s="35"/>
      <c r="W15" s="19" t="s">
        <v>47</v>
      </c>
      <c r="X15" s="2">
        <v>68496</v>
      </c>
      <c r="Y15" s="2">
        <v>1984</v>
      </c>
      <c r="Z15" s="2">
        <v>70480</v>
      </c>
      <c r="AA15" s="2">
        <v>94101</v>
      </c>
      <c r="AB15" s="2">
        <v>1690</v>
      </c>
      <c r="AC15" s="2">
        <v>95791</v>
      </c>
      <c r="AD15" s="2">
        <v>122193</v>
      </c>
      <c r="AE15" s="2">
        <v>3708</v>
      </c>
      <c r="AF15" s="2">
        <v>125901</v>
      </c>
      <c r="AG15" s="2">
        <v>114951</v>
      </c>
      <c r="AH15" s="2">
        <v>3680</v>
      </c>
      <c r="AI15" s="2">
        <v>118631</v>
      </c>
      <c r="AJ15" s="2">
        <v>98815</v>
      </c>
      <c r="AK15" s="2">
        <v>2742</v>
      </c>
      <c r="AL15" s="2">
        <v>101557</v>
      </c>
      <c r="AM15" s="2">
        <v>89150</v>
      </c>
      <c r="AN15" s="2">
        <v>2769</v>
      </c>
      <c r="AO15" s="2">
        <v>91919</v>
      </c>
      <c r="AP15" s="2">
        <v>64907</v>
      </c>
      <c r="AQ15" s="2">
        <v>1531</v>
      </c>
      <c r="AR15" s="2">
        <v>66438</v>
      </c>
      <c r="AS15" s="2">
        <v>652613</v>
      </c>
      <c r="AT15" s="2">
        <v>18104</v>
      </c>
      <c r="AU15" s="2">
        <v>670717</v>
      </c>
      <c r="AV15" s="35"/>
      <c r="AW15" s="20" t="s">
        <v>53</v>
      </c>
      <c r="AX15" s="35">
        <f t="shared" si="1"/>
        <v>93993.857142857145</v>
      </c>
      <c r="AY15" s="35">
        <f t="shared" si="2"/>
        <v>13666.285714285714</v>
      </c>
      <c r="AZ15" s="35">
        <f t="shared" si="3"/>
        <v>17540</v>
      </c>
      <c r="BA15" s="35">
        <f t="shared" si="4"/>
        <v>17540</v>
      </c>
      <c r="BB15" s="35">
        <f t="shared" si="5"/>
        <v>12877.857142857143</v>
      </c>
      <c r="BC15" s="35">
        <f t="shared" si="6"/>
        <v>9448.1428571428569</v>
      </c>
      <c r="BD15" s="35">
        <f t="shared" si="7"/>
        <v>9792.1428571428569</v>
      </c>
      <c r="BE15" s="35">
        <f t="shared" si="8"/>
        <v>14194.285714285714</v>
      </c>
      <c r="BG15" s="19" t="s">
        <v>334</v>
      </c>
      <c r="BH15" s="2">
        <v>94035</v>
      </c>
      <c r="BI15" s="2">
        <v>3490</v>
      </c>
      <c r="BJ15" s="2">
        <v>97525</v>
      </c>
    </row>
    <row r="16" spans="2:67" x14ac:dyDescent="0.25">
      <c r="B16" s="19" t="s">
        <v>413</v>
      </c>
      <c r="C16" s="2">
        <v>659904</v>
      </c>
      <c r="D16" s="2">
        <v>25117</v>
      </c>
      <c r="E16" s="2">
        <v>685021</v>
      </c>
      <c r="F16" s="35"/>
      <c r="G16" s="35">
        <f t="shared" si="9"/>
        <v>94287.71428571429</v>
      </c>
      <c r="H16" s="35">
        <f t="shared" si="11"/>
        <v>3502.5714285714284</v>
      </c>
      <c r="I16" s="35">
        <f t="shared" si="10"/>
        <v>97790.28571428571</v>
      </c>
      <c r="J16" s="35"/>
      <c r="K16" s="35"/>
      <c r="L16" s="19" t="s">
        <v>336</v>
      </c>
      <c r="M16" s="2">
        <v>94051</v>
      </c>
      <c r="N16" s="2">
        <v>3345</v>
      </c>
      <c r="O16" s="2">
        <v>97396</v>
      </c>
      <c r="P16" s="35"/>
      <c r="Q16" s="35"/>
      <c r="R16" s="35"/>
      <c r="S16" s="35"/>
      <c r="V16" s="35"/>
      <c r="W16" s="19" t="s">
        <v>48</v>
      </c>
      <c r="X16" s="2">
        <v>68577</v>
      </c>
      <c r="Y16" s="2">
        <v>3289</v>
      </c>
      <c r="Z16" s="2">
        <v>71866</v>
      </c>
      <c r="AA16" s="2">
        <v>94533</v>
      </c>
      <c r="AB16" s="2">
        <v>2307</v>
      </c>
      <c r="AC16" s="2">
        <v>96840</v>
      </c>
      <c r="AD16" s="2">
        <v>119958</v>
      </c>
      <c r="AE16" s="2">
        <v>5236</v>
      </c>
      <c r="AF16" s="2">
        <v>125194</v>
      </c>
      <c r="AG16" s="2">
        <v>115360</v>
      </c>
      <c r="AH16" s="2">
        <v>5353</v>
      </c>
      <c r="AI16" s="2">
        <v>120713</v>
      </c>
      <c r="AJ16" s="2">
        <v>99705</v>
      </c>
      <c r="AK16" s="2">
        <v>3579</v>
      </c>
      <c r="AL16" s="2">
        <v>103284</v>
      </c>
      <c r="AM16" s="2">
        <v>89512</v>
      </c>
      <c r="AN16" s="2">
        <v>4665</v>
      </c>
      <c r="AO16" s="2">
        <v>94177</v>
      </c>
      <c r="AP16" s="2">
        <v>64809</v>
      </c>
      <c r="AQ16" s="2">
        <v>3119</v>
      </c>
      <c r="AR16" s="2">
        <v>67928</v>
      </c>
      <c r="AS16" s="2">
        <v>652454</v>
      </c>
      <c r="AT16" s="2">
        <v>27548</v>
      </c>
      <c r="AU16" s="2">
        <v>680002</v>
      </c>
      <c r="AV16" s="35"/>
      <c r="AW16" s="20" t="s">
        <v>54</v>
      </c>
      <c r="AX16" s="35">
        <f t="shared" si="1"/>
        <v>94272</v>
      </c>
      <c r="AY16" s="35">
        <f t="shared" si="2"/>
        <v>13699.714285714286</v>
      </c>
      <c r="AZ16" s="35">
        <f t="shared" si="3"/>
        <v>17616.285714285714</v>
      </c>
      <c r="BA16" s="35">
        <f t="shared" si="4"/>
        <v>17616.285714285714</v>
      </c>
      <c r="BB16" s="35">
        <f t="shared" si="5"/>
        <v>12849</v>
      </c>
      <c r="BC16" s="35">
        <f t="shared" si="6"/>
        <v>9449.8571428571431</v>
      </c>
      <c r="BD16" s="35">
        <f t="shared" si="7"/>
        <v>9801.8571428571431</v>
      </c>
      <c r="BE16" s="35">
        <f t="shared" si="8"/>
        <v>14306.428571428571</v>
      </c>
      <c r="BG16" s="19" t="s">
        <v>335</v>
      </c>
      <c r="BH16" s="2">
        <v>94030</v>
      </c>
      <c r="BI16" s="2">
        <v>3393</v>
      </c>
      <c r="BJ16" s="2">
        <v>97423</v>
      </c>
    </row>
    <row r="17" spans="2:62" x14ac:dyDescent="0.25">
      <c r="B17" s="19" t="s">
        <v>422</v>
      </c>
      <c r="C17" s="2">
        <v>660014</v>
      </c>
      <c r="D17" s="2">
        <v>24518</v>
      </c>
      <c r="E17" s="2">
        <v>684532</v>
      </c>
      <c r="F17" s="35"/>
      <c r="G17" s="35">
        <f t="shared" si="9"/>
        <v>94002.71428571429</v>
      </c>
      <c r="H17" s="35">
        <f t="shared" si="11"/>
        <v>3551.1428571428573</v>
      </c>
      <c r="I17" s="35">
        <f t="shared" si="10"/>
        <v>97553.857142857145</v>
      </c>
      <c r="J17" s="35"/>
      <c r="K17" s="35"/>
      <c r="L17" s="19" t="s">
        <v>337</v>
      </c>
      <c r="M17" s="2">
        <v>93861</v>
      </c>
      <c r="N17" s="2">
        <v>3039</v>
      </c>
      <c r="O17" s="2">
        <v>96900</v>
      </c>
      <c r="P17" s="35"/>
      <c r="Q17" s="35"/>
      <c r="R17" s="35"/>
      <c r="S17" s="35"/>
      <c r="V17" s="35"/>
      <c r="W17" s="19" t="s">
        <v>49</v>
      </c>
      <c r="X17" s="2">
        <v>68854</v>
      </c>
      <c r="Y17" s="2">
        <v>3616</v>
      </c>
      <c r="Z17" s="2">
        <v>72470</v>
      </c>
      <c r="AA17" s="2">
        <v>95374</v>
      </c>
      <c r="AB17" s="2">
        <v>2990</v>
      </c>
      <c r="AC17" s="2">
        <v>98364</v>
      </c>
      <c r="AD17" s="2">
        <v>122749</v>
      </c>
      <c r="AE17" s="2">
        <v>6077</v>
      </c>
      <c r="AF17" s="2">
        <v>128826</v>
      </c>
      <c r="AG17" s="2">
        <v>116013</v>
      </c>
      <c r="AH17" s="2">
        <v>5710</v>
      </c>
      <c r="AI17" s="2">
        <v>121723</v>
      </c>
      <c r="AJ17" s="2">
        <v>100162</v>
      </c>
      <c r="AK17" s="2">
        <v>4010</v>
      </c>
      <c r="AL17" s="2">
        <v>104172</v>
      </c>
      <c r="AM17" s="2">
        <v>89029</v>
      </c>
      <c r="AN17" s="2">
        <v>5323</v>
      </c>
      <c r="AO17" s="2">
        <v>94352</v>
      </c>
      <c r="AP17" s="2">
        <v>65658</v>
      </c>
      <c r="AQ17" s="2">
        <v>3358</v>
      </c>
      <c r="AR17" s="2">
        <v>69016</v>
      </c>
      <c r="AS17" s="2">
        <v>657839</v>
      </c>
      <c r="AT17" s="2">
        <v>31084</v>
      </c>
      <c r="AU17" s="2">
        <v>688923</v>
      </c>
      <c r="AV17" s="35"/>
      <c r="AW17" s="20" t="s">
        <v>55</v>
      </c>
      <c r="AX17" s="35">
        <f t="shared" si="1"/>
        <v>94287.71428571429</v>
      </c>
      <c r="AY17" s="35">
        <f t="shared" si="2"/>
        <v>13611.142857142857</v>
      </c>
      <c r="AZ17" s="35">
        <f t="shared" si="3"/>
        <v>17708.714285714286</v>
      </c>
      <c r="BA17" s="35">
        <f t="shared" si="4"/>
        <v>17708.714285714286</v>
      </c>
      <c r="BB17" s="35">
        <f t="shared" si="5"/>
        <v>12837.857142857143</v>
      </c>
      <c r="BC17" s="35">
        <f t="shared" si="6"/>
        <v>9447.7142857142862</v>
      </c>
      <c r="BD17" s="35">
        <f t="shared" si="7"/>
        <v>9791.1428571428569</v>
      </c>
      <c r="BE17" s="35">
        <f t="shared" si="8"/>
        <v>14324.714285714286</v>
      </c>
      <c r="BG17" s="19" t="s">
        <v>336</v>
      </c>
      <c r="BH17" s="2">
        <v>94051</v>
      </c>
      <c r="BI17" s="2">
        <v>3345</v>
      </c>
      <c r="BJ17" s="2">
        <v>97396</v>
      </c>
    </row>
    <row r="18" spans="2:62" x14ac:dyDescent="0.25">
      <c r="B18" s="19" t="s">
        <v>431</v>
      </c>
      <c r="C18" s="2">
        <v>658019</v>
      </c>
      <c r="D18" s="2">
        <v>24858</v>
      </c>
      <c r="E18" s="2">
        <v>682877</v>
      </c>
      <c r="F18" s="35"/>
      <c r="G18" s="35">
        <f t="shared" si="9"/>
        <v>1220072.7142857143</v>
      </c>
      <c r="H18" s="35">
        <f t="shared" si="11"/>
        <v>47349.428571428572</v>
      </c>
      <c r="I18" s="35">
        <f t="shared" si="10"/>
        <v>1267422.142857143</v>
      </c>
      <c r="J18" s="35"/>
      <c r="K18" s="35"/>
      <c r="L18" s="19" t="s">
        <v>338</v>
      </c>
      <c r="M18" s="2">
        <v>92982</v>
      </c>
      <c r="N18" s="2">
        <v>3095</v>
      </c>
      <c r="O18" s="2">
        <v>96077</v>
      </c>
      <c r="P18" s="35"/>
      <c r="Q18" s="35"/>
      <c r="R18" s="35"/>
      <c r="S18" s="35"/>
      <c r="V18" s="35"/>
      <c r="W18" s="19" t="s">
        <v>50</v>
      </c>
      <c r="X18" s="2">
        <v>68824</v>
      </c>
      <c r="Y18" s="2">
        <v>3411</v>
      </c>
      <c r="Z18" s="2">
        <v>72235</v>
      </c>
      <c r="AA18" s="2">
        <v>95620</v>
      </c>
      <c r="AB18" s="2">
        <v>2874</v>
      </c>
      <c r="AC18" s="2">
        <v>98494</v>
      </c>
      <c r="AD18" s="2">
        <v>122982</v>
      </c>
      <c r="AE18" s="2">
        <v>5680</v>
      </c>
      <c r="AF18" s="2">
        <v>128662</v>
      </c>
      <c r="AG18" s="2">
        <v>116115</v>
      </c>
      <c r="AH18" s="2">
        <v>5375</v>
      </c>
      <c r="AI18" s="2">
        <v>121490</v>
      </c>
      <c r="AJ18" s="2">
        <v>99158</v>
      </c>
      <c r="AK18" s="2">
        <v>3985</v>
      </c>
      <c r="AL18" s="2">
        <v>103143</v>
      </c>
      <c r="AM18" s="2">
        <v>89824</v>
      </c>
      <c r="AN18" s="2">
        <v>4837</v>
      </c>
      <c r="AO18" s="2">
        <v>94661</v>
      </c>
      <c r="AP18" s="2">
        <v>65920</v>
      </c>
      <c r="AQ18" s="2">
        <v>2823</v>
      </c>
      <c r="AR18" s="2">
        <v>68743</v>
      </c>
      <c r="AS18" s="2">
        <v>658443</v>
      </c>
      <c r="AT18" s="2">
        <v>28985</v>
      </c>
      <c r="AU18" s="2">
        <v>687428</v>
      </c>
      <c r="AV18" s="35"/>
      <c r="AW18" s="20" t="s">
        <v>56</v>
      </c>
      <c r="AX18" s="35">
        <f t="shared" si="1"/>
        <v>94002.71428571429</v>
      </c>
      <c r="AY18" s="35">
        <f t="shared" si="2"/>
        <v>13315.142857142857</v>
      </c>
      <c r="AZ18" s="35">
        <f t="shared" si="3"/>
        <v>17708.142857142859</v>
      </c>
      <c r="BA18" s="35">
        <f t="shared" si="4"/>
        <v>17708.142857142859</v>
      </c>
      <c r="BB18" s="35">
        <f t="shared" si="5"/>
        <v>12865.285714285714</v>
      </c>
      <c r="BC18" s="35">
        <f t="shared" si="6"/>
        <v>9463</v>
      </c>
      <c r="BD18" s="35">
        <f>(VLOOKUP(AW18,$W$8:$AU$1048576,2,FALSE))/7</f>
        <v>9777.1428571428569</v>
      </c>
      <c r="BE18" s="35">
        <f t="shared" si="8"/>
        <v>14302.571428571429</v>
      </c>
      <c r="BG18" s="19" t="s">
        <v>337</v>
      </c>
      <c r="BH18" s="2">
        <v>93861</v>
      </c>
      <c r="BI18" s="2">
        <v>3039</v>
      </c>
      <c r="BJ18" s="2">
        <v>96900</v>
      </c>
    </row>
    <row r="19" spans="2:62" x14ac:dyDescent="0.25">
      <c r="B19" s="19" t="s">
        <v>40</v>
      </c>
      <c r="C19" s="2">
        <v>8540509</v>
      </c>
      <c r="D19" s="2">
        <v>331446</v>
      </c>
      <c r="E19" s="2">
        <v>8871955</v>
      </c>
      <c r="F19" s="35"/>
      <c r="G19" s="35">
        <f>C20/7</f>
        <v>0</v>
      </c>
      <c r="H19" s="35">
        <f>D20/7</f>
        <v>0</v>
      </c>
      <c r="I19" s="35">
        <f>E20/7</f>
        <v>0</v>
      </c>
      <c r="J19" s="35"/>
      <c r="K19" s="35"/>
      <c r="L19" s="19" t="s">
        <v>339</v>
      </c>
      <c r="M19" s="2">
        <v>93112</v>
      </c>
      <c r="N19" s="2">
        <v>3523</v>
      </c>
      <c r="O19" s="2">
        <v>96635</v>
      </c>
      <c r="P19" s="35"/>
      <c r="Q19" s="35"/>
      <c r="R19" s="35"/>
      <c r="S19" s="35"/>
      <c r="V19" s="35"/>
      <c r="W19" s="19" t="s">
        <v>51</v>
      </c>
      <c r="X19" s="2">
        <v>68582</v>
      </c>
      <c r="Y19" s="2">
        <v>3061</v>
      </c>
      <c r="Z19" s="2">
        <v>71643</v>
      </c>
      <c r="AA19" s="2">
        <v>95755</v>
      </c>
      <c r="AB19" s="2">
        <v>2517</v>
      </c>
      <c r="AC19" s="2">
        <v>98272</v>
      </c>
      <c r="AD19" s="2">
        <v>122926</v>
      </c>
      <c r="AE19" s="2">
        <v>5089</v>
      </c>
      <c r="AF19" s="2">
        <v>128015</v>
      </c>
      <c r="AG19" s="2">
        <v>115814</v>
      </c>
      <c r="AH19" s="2">
        <v>5163</v>
      </c>
      <c r="AI19" s="2">
        <v>120977</v>
      </c>
      <c r="AJ19" s="2">
        <v>100058</v>
      </c>
      <c r="AK19" s="2">
        <v>4005</v>
      </c>
      <c r="AL19" s="2">
        <v>104063</v>
      </c>
      <c r="AM19" s="2">
        <v>89774</v>
      </c>
      <c r="AN19" s="2">
        <v>4538</v>
      </c>
      <c r="AO19" s="2">
        <v>94312</v>
      </c>
      <c r="AP19" s="2">
        <v>66002</v>
      </c>
      <c r="AQ19" s="2">
        <v>2646</v>
      </c>
      <c r="AR19" s="2">
        <v>68648</v>
      </c>
      <c r="AS19" s="2">
        <v>658911</v>
      </c>
      <c r="AT19" s="2">
        <v>27019</v>
      </c>
      <c r="AU19" s="2">
        <v>685930</v>
      </c>
      <c r="AV19" s="35"/>
      <c r="AW19" s="20"/>
      <c r="AX19" s="35"/>
      <c r="AY19" s="35"/>
      <c r="AZ19" s="35"/>
      <c r="BA19" s="35"/>
      <c r="BB19" s="35"/>
      <c r="BC19" s="35"/>
      <c r="BD19" s="35"/>
      <c r="BE19" s="35"/>
      <c r="BG19" s="19" t="s">
        <v>338</v>
      </c>
      <c r="BH19" s="2">
        <v>92982</v>
      </c>
      <c r="BI19" s="2">
        <v>3095</v>
      </c>
      <c r="BJ19" s="2">
        <v>96077</v>
      </c>
    </row>
    <row r="20" spans="2:62" x14ac:dyDescent="0.25">
      <c r="F20" s="35"/>
      <c r="G20" s="35"/>
      <c r="H20" s="35"/>
      <c r="I20" s="35"/>
      <c r="J20" s="35"/>
      <c r="K20" s="35"/>
      <c r="L20" s="19" t="s">
        <v>342</v>
      </c>
      <c r="M20" s="2">
        <v>93255</v>
      </c>
      <c r="N20" s="2">
        <v>3842</v>
      </c>
      <c r="O20" s="2">
        <v>97097</v>
      </c>
      <c r="P20" s="35"/>
      <c r="Q20" s="35"/>
      <c r="R20" s="35"/>
      <c r="S20" s="35"/>
      <c r="W20" s="19" t="s">
        <v>52</v>
      </c>
      <c r="X20" s="2">
        <v>68510</v>
      </c>
      <c r="Y20" s="2">
        <v>3230</v>
      </c>
      <c r="Z20" s="2">
        <v>71740</v>
      </c>
      <c r="AA20" s="2">
        <v>95848</v>
      </c>
      <c r="AB20" s="2">
        <v>2620</v>
      </c>
      <c r="AC20" s="2">
        <v>98468</v>
      </c>
      <c r="AD20" s="2">
        <v>121353</v>
      </c>
      <c r="AE20" s="2">
        <v>5271</v>
      </c>
      <c r="AF20" s="2">
        <v>126624</v>
      </c>
      <c r="AG20" s="2">
        <v>115760</v>
      </c>
      <c r="AH20" s="2">
        <v>5251</v>
      </c>
      <c r="AI20" s="2">
        <v>121011</v>
      </c>
      <c r="AJ20" s="2">
        <v>100290</v>
      </c>
      <c r="AK20" s="2">
        <v>4198</v>
      </c>
      <c r="AL20" s="2">
        <v>104488</v>
      </c>
      <c r="AM20" s="2">
        <v>90165</v>
      </c>
      <c r="AN20" s="2">
        <v>4513</v>
      </c>
      <c r="AO20" s="2">
        <v>94678</v>
      </c>
      <c r="AP20" s="2">
        <v>65981</v>
      </c>
      <c r="AQ20" s="2">
        <v>3228</v>
      </c>
      <c r="AR20" s="2">
        <v>69209</v>
      </c>
      <c r="AS20" s="2">
        <v>657907</v>
      </c>
      <c r="AT20" s="2">
        <v>28311</v>
      </c>
      <c r="AU20" s="2">
        <v>686218</v>
      </c>
      <c r="BG20" s="19" t="s">
        <v>339</v>
      </c>
      <c r="BH20" s="2">
        <v>93112</v>
      </c>
      <c r="BI20" s="2">
        <v>3523</v>
      </c>
      <c r="BJ20" s="2">
        <v>96635</v>
      </c>
    </row>
    <row r="21" spans="2:62" x14ac:dyDescent="0.25">
      <c r="L21" s="19" t="s">
        <v>343</v>
      </c>
      <c r="M21" s="2">
        <v>93862</v>
      </c>
      <c r="N21" s="2">
        <v>3714</v>
      </c>
      <c r="O21" s="2">
        <v>97576</v>
      </c>
      <c r="V21" s="42"/>
      <c r="W21" s="19" t="s">
        <v>40</v>
      </c>
      <c r="X21" s="2">
        <v>890142</v>
      </c>
      <c r="Y21" s="2">
        <v>37847</v>
      </c>
      <c r="Z21" s="2">
        <v>927989</v>
      </c>
      <c r="AA21" s="2">
        <v>1235938</v>
      </c>
      <c r="AB21" s="2">
        <v>31758</v>
      </c>
      <c r="AC21" s="2">
        <v>1267696</v>
      </c>
      <c r="AD21" s="2">
        <v>1594017</v>
      </c>
      <c r="AE21" s="2">
        <v>62414</v>
      </c>
      <c r="AF21" s="2">
        <v>1656431</v>
      </c>
      <c r="AG21" s="2">
        <v>1503759</v>
      </c>
      <c r="AH21" s="2">
        <v>63558</v>
      </c>
      <c r="AI21" s="2">
        <v>1567317</v>
      </c>
      <c r="AJ21" s="2">
        <v>1296739</v>
      </c>
      <c r="AK21" s="2">
        <v>47603</v>
      </c>
      <c r="AL21" s="2">
        <v>1344342</v>
      </c>
      <c r="AM21" s="2">
        <v>1166466</v>
      </c>
      <c r="AN21" s="2">
        <v>53543</v>
      </c>
      <c r="AO21" s="2">
        <v>1220009</v>
      </c>
      <c r="AP21" s="2">
        <v>853448</v>
      </c>
      <c r="AQ21" s="2">
        <v>34723</v>
      </c>
      <c r="AR21" s="2">
        <v>888171</v>
      </c>
      <c r="AS21" s="2">
        <v>8540509</v>
      </c>
      <c r="AT21" s="2">
        <v>331446</v>
      </c>
      <c r="AU21" s="2">
        <v>8871955</v>
      </c>
      <c r="AV21" s="117"/>
      <c r="AW21" s="42"/>
      <c r="AX21" s="42"/>
      <c r="AY21" s="42"/>
      <c r="AZ21" s="42"/>
      <c r="BA21" s="42"/>
      <c r="BB21" s="42"/>
      <c r="BC21" s="42"/>
      <c r="BD21" s="42"/>
      <c r="BE21" s="42"/>
      <c r="BG21" s="19" t="s">
        <v>342</v>
      </c>
      <c r="BH21" s="2">
        <v>93255</v>
      </c>
      <c r="BI21" s="2">
        <v>3842</v>
      </c>
      <c r="BJ21" s="2">
        <v>97097</v>
      </c>
    </row>
    <row r="22" spans="2:62" x14ac:dyDescent="0.25">
      <c r="L22" s="19" t="s">
        <v>344</v>
      </c>
      <c r="M22" s="2">
        <v>93883</v>
      </c>
      <c r="N22" s="2">
        <v>3486</v>
      </c>
      <c r="O22" s="2">
        <v>97369</v>
      </c>
      <c r="V22" s="35"/>
      <c r="AM22" s="35"/>
      <c r="AN22" s="35"/>
      <c r="AO22" s="35"/>
      <c r="AP22" s="35"/>
      <c r="AQ22" s="35"/>
      <c r="AR22" s="35"/>
      <c r="AS22" s="35"/>
      <c r="AT22" s="35"/>
      <c r="AU22" s="35"/>
      <c r="AV22" s="35"/>
      <c r="AW22" s="36" t="s">
        <v>225</v>
      </c>
      <c r="AX22" t="s">
        <v>42</v>
      </c>
      <c r="AY22" s="117" t="s">
        <v>1</v>
      </c>
      <c r="AZ22" s="117" t="s">
        <v>241</v>
      </c>
      <c r="BA22" s="117" t="s">
        <v>282</v>
      </c>
      <c r="BB22" s="117" t="s">
        <v>238</v>
      </c>
      <c r="BC22" s="117" t="s">
        <v>239</v>
      </c>
      <c r="BD22" s="45" t="s">
        <v>285</v>
      </c>
      <c r="BE22" s="117" t="s">
        <v>284</v>
      </c>
      <c r="BG22" s="19" t="s">
        <v>343</v>
      </c>
      <c r="BH22" s="2">
        <v>93862</v>
      </c>
      <c r="BI22" s="2">
        <v>3714</v>
      </c>
      <c r="BJ22" s="2">
        <v>97576</v>
      </c>
    </row>
    <row r="23" spans="2:62" x14ac:dyDescent="0.25">
      <c r="L23" s="19" t="s">
        <v>345</v>
      </c>
      <c r="M23" s="2">
        <v>93885</v>
      </c>
      <c r="N23" s="2">
        <v>3345</v>
      </c>
      <c r="O23" s="2">
        <v>97230</v>
      </c>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21" t="s">
        <v>44</v>
      </c>
      <c r="AX23" s="35">
        <f>(VLOOKUP(AW23,$W$8:$AU$1048576,24,FALSE))/7</f>
        <v>3172.1428571428573</v>
      </c>
      <c r="AY23" s="35">
        <f>(VLOOKUP(AW23,$W$8:$AU$1048576,6,FALSE))/7</f>
        <v>321.85714285714283</v>
      </c>
      <c r="AZ23" s="35">
        <f>(VLOOKUP(AW23,$W$8:$AU$1048576,9,FALSE))/7</f>
        <v>600.57142857142856</v>
      </c>
      <c r="BA23" s="35">
        <f>(VLOOKUP(AW23,$W$8:$AU$1048576,12,FALSE))/7</f>
        <v>671.57142857142856</v>
      </c>
      <c r="BB23" s="35">
        <f>(VLOOKUP(AW23,$W$8:$AU$1048576,18,FALSE))/7</f>
        <v>497.85714285714283</v>
      </c>
      <c r="BC23" s="35">
        <f>(VLOOKUP(AW23,$W$8:$AU$1048576,21,FALSE))/7</f>
        <v>317.85714285714283</v>
      </c>
      <c r="BD23" s="35">
        <f>(VLOOKUP(AW23,$W$8:$AU$1048576,3,FALSE))/7</f>
        <v>295.57142857142856</v>
      </c>
      <c r="BE23" s="35">
        <f>(VLOOKUP(AW23,$W$8:$AU$1048576,15,FALSE))/7</f>
        <v>466.85714285714283</v>
      </c>
      <c r="BG23" s="19" t="s">
        <v>344</v>
      </c>
      <c r="BH23" s="2">
        <v>93883</v>
      </c>
      <c r="BI23" s="2">
        <v>3486</v>
      </c>
      <c r="BJ23" s="2">
        <v>97369</v>
      </c>
    </row>
    <row r="24" spans="2:62" x14ac:dyDescent="0.25">
      <c r="L24" s="19" t="s">
        <v>346</v>
      </c>
      <c r="M24" s="2">
        <v>93785</v>
      </c>
      <c r="N24" s="2">
        <v>2957</v>
      </c>
      <c r="O24" s="2">
        <v>96742</v>
      </c>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20" t="s">
        <v>45</v>
      </c>
      <c r="AX24" s="35">
        <f t="shared" ref="AX24:AX35" si="12">(VLOOKUP(AW24,$W$8:$AU$1048576,24,FALSE))/7</f>
        <v>3348.7142857142858</v>
      </c>
      <c r="AY24" s="35">
        <f t="shared" ref="AY24:AY35" si="13">(VLOOKUP(AW24,$W$8:$AU$1048576,6,FALSE))/7</f>
        <v>311.28571428571428</v>
      </c>
      <c r="AZ24" s="35">
        <f t="shared" ref="AZ24:AZ35" si="14">(VLOOKUP(AW24,$W$8:$AU$1048576,9,FALSE))/7</f>
        <v>620.14285714285711</v>
      </c>
      <c r="BA24" s="35">
        <f t="shared" ref="BA24:BA35" si="15">(VLOOKUP(AW24,$W$8:$AU$1048576,12,FALSE))/7</f>
        <v>703.28571428571433</v>
      </c>
      <c r="BB24" s="35">
        <f t="shared" ref="BB24:BB35" si="16">(VLOOKUP(AW24,$W$8:$AU$1048576,18,FALSE))/7</f>
        <v>536.85714285714289</v>
      </c>
      <c r="BC24" s="35">
        <f t="shared" ref="BC24:BC35" si="17">(VLOOKUP(AW24,$W$8:$AU$1048576,21,FALSE))/7</f>
        <v>323</v>
      </c>
      <c r="BD24" s="35">
        <f t="shared" ref="BD24:BD35" si="18">(VLOOKUP(AW24,$W$8:$AU$1048576,3,FALSE))/7</f>
        <v>333</v>
      </c>
      <c r="BE24" s="35">
        <f t="shared" ref="BE24:BE35" si="19">(VLOOKUP(AW24,$W$8:$AU$1048576,15,FALSE))/7</f>
        <v>521.14285714285711</v>
      </c>
      <c r="BG24" s="19" t="s">
        <v>345</v>
      </c>
      <c r="BH24" s="2">
        <v>93885</v>
      </c>
      <c r="BI24" s="2">
        <v>3345</v>
      </c>
      <c r="BJ24" s="2">
        <v>97230</v>
      </c>
    </row>
    <row r="25" spans="2:62" x14ac:dyDescent="0.25">
      <c r="L25" s="19" t="s">
        <v>347</v>
      </c>
      <c r="M25" s="2">
        <v>93597</v>
      </c>
      <c r="N25" s="2">
        <v>2852</v>
      </c>
      <c r="O25" s="2">
        <v>96449</v>
      </c>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20" t="s">
        <v>46</v>
      </c>
      <c r="AX25" s="35">
        <f t="shared" si="12"/>
        <v>3318.5714285714284</v>
      </c>
      <c r="AY25" s="35">
        <f t="shared" si="13"/>
        <v>313.71428571428572</v>
      </c>
      <c r="AZ25" s="35">
        <f t="shared" si="14"/>
        <v>598.28571428571433</v>
      </c>
      <c r="BA25" s="35">
        <f t="shared" si="15"/>
        <v>671.85714285714289</v>
      </c>
      <c r="BB25" s="35">
        <f t="shared" si="16"/>
        <v>536.85714285714289</v>
      </c>
      <c r="BC25" s="35">
        <f t="shared" si="17"/>
        <v>340.57142857142856</v>
      </c>
      <c r="BD25" s="35">
        <f t="shared" si="18"/>
        <v>354.85714285714283</v>
      </c>
      <c r="BE25" s="35">
        <f t="shared" si="19"/>
        <v>502.42857142857144</v>
      </c>
      <c r="BG25" s="19" t="s">
        <v>346</v>
      </c>
      <c r="BH25" s="2">
        <v>93785</v>
      </c>
      <c r="BI25" s="2">
        <v>2957</v>
      </c>
      <c r="BJ25" s="2">
        <v>96742</v>
      </c>
    </row>
    <row r="26" spans="2:62" x14ac:dyDescent="0.25">
      <c r="L26" s="19" t="s">
        <v>348</v>
      </c>
      <c r="M26" s="2">
        <v>93628</v>
      </c>
      <c r="N26" s="2">
        <v>3034</v>
      </c>
      <c r="O26" s="2">
        <v>96662</v>
      </c>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20" t="s">
        <v>47</v>
      </c>
      <c r="AX26" s="35">
        <f t="shared" si="12"/>
        <v>2586.2857142857142</v>
      </c>
      <c r="AY26" s="35">
        <f t="shared" si="13"/>
        <v>241.42857142857142</v>
      </c>
      <c r="AZ26" s="35">
        <f t="shared" si="14"/>
        <v>529.71428571428567</v>
      </c>
      <c r="BA26" s="35">
        <f t="shared" si="15"/>
        <v>525.71428571428567</v>
      </c>
      <c r="BB26" s="35">
        <f t="shared" si="16"/>
        <v>395.57142857142856</v>
      </c>
      <c r="BC26" s="35">
        <f t="shared" si="17"/>
        <v>218.71428571428572</v>
      </c>
      <c r="BD26" s="35">
        <f t="shared" si="18"/>
        <v>283.42857142857144</v>
      </c>
      <c r="BE26" s="35">
        <f t="shared" si="19"/>
        <v>391.71428571428572</v>
      </c>
      <c r="BG26" s="19" t="s">
        <v>347</v>
      </c>
      <c r="BH26" s="2">
        <v>93597</v>
      </c>
      <c r="BI26" s="2">
        <v>2852</v>
      </c>
      <c r="BJ26" s="2">
        <v>96449</v>
      </c>
    </row>
    <row r="27" spans="2:62" x14ac:dyDescent="0.25">
      <c r="L27" s="19" t="s">
        <v>351</v>
      </c>
      <c r="M27" s="2">
        <v>93550</v>
      </c>
      <c r="N27" s="2">
        <v>2851</v>
      </c>
      <c r="O27" s="2">
        <v>96401</v>
      </c>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20" t="s">
        <v>48</v>
      </c>
      <c r="AX27" s="35">
        <f t="shared" si="12"/>
        <v>3935.4285714285716</v>
      </c>
      <c r="AY27" s="35">
        <f t="shared" si="13"/>
        <v>329.57142857142856</v>
      </c>
      <c r="AZ27" s="35">
        <f t="shared" si="14"/>
        <v>748</v>
      </c>
      <c r="BA27" s="35">
        <f t="shared" si="15"/>
        <v>764.71428571428567</v>
      </c>
      <c r="BB27" s="35">
        <f t="shared" si="16"/>
        <v>666.42857142857144</v>
      </c>
      <c r="BC27" s="35">
        <f t="shared" si="17"/>
        <v>445.57142857142856</v>
      </c>
      <c r="BD27" s="35">
        <f t="shared" si="18"/>
        <v>469.85714285714283</v>
      </c>
      <c r="BE27" s="35">
        <f t="shared" si="19"/>
        <v>511.28571428571428</v>
      </c>
      <c r="BG27" s="19" t="s">
        <v>348</v>
      </c>
      <c r="BH27" s="2">
        <v>93628</v>
      </c>
      <c r="BI27" s="2">
        <v>3034</v>
      </c>
      <c r="BJ27" s="2">
        <v>96662</v>
      </c>
    </row>
    <row r="28" spans="2:62" x14ac:dyDescent="0.25">
      <c r="L28" s="19" t="s">
        <v>352</v>
      </c>
      <c r="M28" s="2">
        <v>92503</v>
      </c>
      <c r="N28" s="2">
        <v>1999</v>
      </c>
      <c r="O28" s="2">
        <v>94502</v>
      </c>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20" t="s">
        <v>49</v>
      </c>
      <c r="AX28" s="35">
        <f t="shared" si="12"/>
        <v>4440.5714285714284</v>
      </c>
      <c r="AY28" s="35">
        <f t="shared" si="13"/>
        <v>427.14285714285717</v>
      </c>
      <c r="AZ28" s="35">
        <f t="shared" si="14"/>
        <v>868.14285714285711</v>
      </c>
      <c r="BA28" s="35">
        <f t="shared" si="15"/>
        <v>815.71428571428567</v>
      </c>
      <c r="BB28" s="35">
        <f t="shared" si="16"/>
        <v>760.42857142857144</v>
      </c>
      <c r="BC28" s="35">
        <f t="shared" si="17"/>
        <v>479.71428571428572</v>
      </c>
      <c r="BD28" s="35">
        <f t="shared" si="18"/>
        <v>516.57142857142856</v>
      </c>
      <c r="BE28" s="35">
        <f t="shared" si="19"/>
        <v>572.85714285714289</v>
      </c>
      <c r="BG28" s="19" t="s">
        <v>351</v>
      </c>
      <c r="BH28" s="2">
        <v>93550</v>
      </c>
      <c r="BI28" s="2">
        <v>2851</v>
      </c>
      <c r="BJ28" s="2">
        <v>96401</v>
      </c>
    </row>
    <row r="29" spans="2:62" x14ac:dyDescent="0.25">
      <c r="L29" s="19" t="s">
        <v>353</v>
      </c>
      <c r="M29" s="2">
        <v>93220</v>
      </c>
      <c r="N29" s="2">
        <v>1920</v>
      </c>
      <c r="O29" s="2">
        <v>95140</v>
      </c>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20" t="s">
        <v>50</v>
      </c>
      <c r="AX29" s="35">
        <f t="shared" si="12"/>
        <v>4140.7142857142853</v>
      </c>
      <c r="AY29" s="35">
        <f t="shared" si="13"/>
        <v>410.57142857142856</v>
      </c>
      <c r="AZ29" s="35">
        <f t="shared" si="14"/>
        <v>811.42857142857144</v>
      </c>
      <c r="BA29" s="35">
        <f t="shared" si="15"/>
        <v>767.85714285714289</v>
      </c>
      <c r="BB29" s="35">
        <f t="shared" si="16"/>
        <v>691</v>
      </c>
      <c r="BC29" s="35">
        <f t="shared" si="17"/>
        <v>403.28571428571428</v>
      </c>
      <c r="BD29" s="35">
        <f t="shared" si="18"/>
        <v>487.28571428571428</v>
      </c>
      <c r="BE29" s="35">
        <f t="shared" si="19"/>
        <v>569.28571428571433</v>
      </c>
      <c r="BG29" s="19" t="s">
        <v>352</v>
      </c>
      <c r="BH29" s="2">
        <v>92503</v>
      </c>
      <c r="BI29" s="2">
        <v>1999</v>
      </c>
      <c r="BJ29" s="2">
        <v>94502</v>
      </c>
    </row>
    <row r="30" spans="2:62" x14ac:dyDescent="0.25">
      <c r="L30" s="19" t="s">
        <v>354</v>
      </c>
      <c r="M30" s="2">
        <v>93311</v>
      </c>
      <c r="N30" s="2">
        <v>2209</v>
      </c>
      <c r="O30" s="2">
        <v>95520</v>
      </c>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20" t="s">
        <v>51</v>
      </c>
      <c r="AX30" s="35">
        <f t="shared" si="12"/>
        <v>3859.8571428571427</v>
      </c>
      <c r="AY30" s="35">
        <f t="shared" si="13"/>
        <v>359.57142857142856</v>
      </c>
      <c r="AZ30" s="35">
        <f t="shared" si="14"/>
        <v>727</v>
      </c>
      <c r="BA30" s="35">
        <f t="shared" si="15"/>
        <v>737.57142857142856</v>
      </c>
      <c r="BB30" s="35">
        <f t="shared" si="16"/>
        <v>648.28571428571433</v>
      </c>
      <c r="BC30" s="35">
        <f t="shared" si="17"/>
        <v>378</v>
      </c>
      <c r="BD30" s="35">
        <f t="shared" si="18"/>
        <v>437.28571428571428</v>
      </c>
      <c r="BE30" s="35">
        <f t="shared" si="19"/>
        <v>572.14285714285711</v>
      </c>
      <c r="BG30" s="19" t="s">
        <v>353</v>
      </c>
      <c r="BH30" s="2">
        <v>93220</v>
      </c>
      <c r="BI30" s="2">
        <v>1920</v>
      </c>
      <c r="BJ30" s="2">
        <v>95140</v>
      </c>
    </row>
    <row r="31" spans="2:62" x14ac:dyDescent="0.25">
      <c r="L31" s="19" t="s">
        <v>355</v>
      </c>
      <c r="M31" s="2">
        <v>93335</v>
      </c>
      <c r="N31" s="2">
        <v>2544</v>
      </c>
      <c r="O31" s="2">
        <v>95879</v>
      </c>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20" t="s">
        <v>52</v>
      </c>
      <c r="AX31" s="35">
        <f t="shared" si="12"/>
        <v>4044.4285714285716</v>
      </c>
      <c r="AY31" s="35">
        <f t="shared" si="13"/>
        <v>374.28571428571428</v>
      </c>
      <c r="AZ31" s="35">
        <f t="shared" si="14"/>
        <v>753</v>
      </c>
      <c r="BA31" s="35">
        <f t="shared" si="15"/>
        <v>750.14285714285711</v>
      </c>
      <c r="BB31" s="35">
        <f t="shared" si="16"/>
        <v>644.71428571428567</v>
      </c>
      <c r="BC31" s="35">
        <f t="shared" si="17"/>
        <v>461.14285714285717</v>
      </c>
      <c r="BD31" s="35">
        <f t="shared" si="18"/>
        <v>461.42857142857144</v>
      </c>
      <c r="BE31" s="35">
        <f t="shared" si="19"/>
        <v>599.71428571428567</v>
      </c>
      <c r="BG31" s="19" t="s">
        <v>354</v>
      </c>
      <c r="BH31" s="2">
        <v>93311</v>
      </c>
      <c r="BI31" s="2">
        <v>2209</v>
      </c>
      <c r="BJ31" s="2">
        <v>95520</v>
      </c>
    </row>
    <row r="32" spans="2:62" x14ac:dyDescent="0.25">
      <c r="L32" s="19" t="s">
        <v>356</v>
      </c>
      <c r="M32" s="2">
        <v>93116</v>
      </c>
      <c r="N32" s="2">
        <v>2921</v>
      </c>
      <c r="O32" s="2">
        <v>96037</v>
      </c>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20" t="s">
        <v>53</v>
      </c>
      <c r="AX32" s="35">
        <f t="shared" si="12"/>
        <v>3860.8571428571427</v>
      </c>
      <c r="AY32" s="35">
        <f>(VLOOKUP(AW32,$W$8:$AU$1048576,6,FALSE))/7</f>
        <v>381.71428571428572</v>
      </c>
      <c r="AZ32" s="35">
        <f t="shared" si="14"/>
        <v>752.28571428571433</v>
      </c>
      <c r="BA32" s="35">
        <f t="shared" si="15"/>
        <v>718.85714285714289</v>
      </c>
      <c r="BB32" s="35">
        <f t="shared" si="16"/>
        <v>592.14285714285711</v>
      </c>
      <c r="BC32" s="35">
        <f t="shared" si="17"/>
        <v>406</v>
      </c>
      <c r="BD32" s="35">
        <f t="shared" si="18"/>
        <v>460</v>
      </c>
      <c r="BE32" s="35">
        <f t="shared" si="19"/>
        <v>549.85714285714289</v>
      </c>
      <c r="BG32" s="19" t="s">
        <v>355</v>
      </c>
      <c r="BH32" s="2">
        <v>93335</v>
      </c>
      <c r="BI32" s="2">
        <v>2544</v>
      </c>
      <c r="BJ32" s="2">
        <v>95879</v>
      </c>
    </row>
    <row r="33" spans="12:62" x14ac:dyDescent="0.25">
      <c r="L33" s="19" t="s">
        <v>357</v>
      </c>
      <c r="M33" s="2">
        <v>93578</v>
      </c>
      <c r="N33" s="2">
        <v>3660</v>
      </c>
      <c r="O33" s="2">
        <v>97238</v>
      </c>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20" t="s">
        <v>54</v>
      </c>
      <c r="AX33" s="35">
        <f t="shared" si="12"/>
        <v>3588.1428571428573</v>
      </c>
      <c r="AY33" s="35">
        <f t="shared" si="13"/>
        <v>347.71428571428572</v>
      </c>
      <c r="AZ33" s="35">
        <f t="shared" si="14"/>
        <v>662.71428571428567</v>
      </c>
      <c r="BA33" s="35">
        <f t="shared" si="15"/>
        <v>679.14285714285711</v>
      </c>
      <c r="BB33" s="35">
        <f>(VLOOKUP(AW33,$W$8:$AU$1048576,18,FALSE))/7</f>
        <v>564.42857142857144</v>
      </c>
      <c r="BC33" s="35">
        <f t="shared" si="17"/>
        <v>393.85714285714283</v>
      </c>
      <c r="BD33" s="35">
        <f t="shared" si="18"/>
        <v>416.28571428571428</v>
      </c>
      <c r="BE33" s="35">
        <f t="shared" si="19"/>
        <v>524</v>
      </c>
      <c r="BG33" s="19" t="s">
        <v>356</v>
      </c>
      <c r="BH33" s="2">
        <v>93116</v>
      </c>
      <c r="BI33" s="2">
        <v>2921</v>
      </c>
      <c r="BJ33" s="2">
        <v>96037</v>
      </c>
    </row>
    <row r="34" spans="12:62" x14ac:dyDescent="0.25">
      <c r="L34" s="19" t="s">
        <v>360</v>
      </c>
      <c r="M34" s="2">
        <v>93686</v>
      </c>
      <c r="N34" s="2">
        <v>3997</v>
      </c>
      <c r="O34" s="2">
        <v>97683</v>
      </c>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20" t="s">
        <v>55</v>
      </c>
      <c r="AX34" s="35">
        <f t="shared" si="12"/>
        <v>3502.5714285714284</v>
      </c>
      <c r="AY34" s="35">
        <f t="shared" si="13"/>
        <v>367.28571428571428</v>
      </c>
      <c r="AZ34" s="35">
        <f t="shared" si="14"/>
        <v>616</v>
      </c>
      <c r="BA34" s="35">
        <f t="shared" si="15"/>
        <v>656</v>
      </c>
      <c r="BB34" s="35">
        <f t="shared" si="16"/>
        <v>554.71428571428567</v>
      </c>
      <c r="BC34" s="35">
        <f t="shared" si="17"/>
        <v>381.71428571428572</v>
      </c>
      <c r="BD34" s="35">
        <f t="shared" si="18"/>
        <v>427.14285714285717</v>
      </c>
      <c r="BE34" s="35">
        <f t="shared" si="19"/>
        <v>499.71428571428572</v>
      </c>
      <c r="BG34" s="19" t="s">
        <v>357</v>
      </c>
      <c r="BH34" s="2">
        <v>93578</v>
      </c>
      <c r="BI34" s="2">
        <v>3660</v>
      </c>
      <c r="BJ34" s="2">
        <v>97238</v>
      </c>
    </row>
    <row r="35" spans="12:62" x14ac:dyDescent="0.25">
      <c r="L35" s="19" t="s">
        <v>361</v>
      </c>
      <c r="M35" s="2">
        <v>93645</v>
      </c>
      <c r="N35" s="2">
        <v>3555</v>
      </c>
      <c r="O35" s="2">
        <v>97200</v>
      </c>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20" t="s">
        <v>56</v>
      </c>
      <c r="AX35" s="35">
        <f t="shared" si="12"/>
        <v>3551.1428571428573</v>
      </c>
      <c r="AY35" s="35">
        <f t="shared" si="13"/>
        <v>350.71428571428572</v>
      </c>
      <c r="AZ35" s="35">
        <f t="shared" si="14"/>
        <v>629</v>
      </c>
      <c r="BA35" s="35">
        <f t="shared" si="15"/>
        <v>617.28571428571433</v>
      </c>
      <c r="BB35" s="35">
        <f t="shared" si="16"/>
        <v>559.71428571428567</v>
      </c>
      <c r="BC35" s="35">
        <f t="shared" si="17"/>
        <v>411</v>
      </c>
      <c r="BD35" s="35">
        <f t="shared" si="18"/>
        <v>464</v>
      </c>
      <c r="BE35" s="35">
        <f t="shared" si="19"/>
        <v>519.42857142857144</v>
      </c>
      <c r="BG35" s="19" t="s">
        <v>360</v>
      </c>
      <c r="BH35" s="2">
        <v>93686</v>
      </c>
      <c r="BI35" s="2">
        <v>3997</v>
      </c>
      <c r="BJ35" s="2">
        <v>97683</v>
      </c>
    </row>
    <row r="36" spans="12:62" x14ac:dyDescent="0.25">
      <c r="L36" s="19" t="s">
        <v>362</v>
      </c>
      <c r="M36" s="2">
        <v>93731</v>
      </c>
      <c r="N36" s="2">
        <v>3734</v>
      </c>
      <c r="O36" s="2">
        <v>97465</v>
      </c>
      <c r="AW36" s="20"/>
      <c r="AX36" s="35"/>
      <c r="AY36" s="35"/>
      <c r="AZ36" s="35"/>
      <c r="BA36" s="35"/>
      <c r="BB36" s="35"/>
      <c r="BC36" s="35"/>
      <c r="BD36" s="35"/>
      <c r="BE36" s="35"/>
      <c r="BG36" s="19" t="s">
        <v>361</v>
      </c>
      <c r="BH36" s="2">
        <v>93645</v>
      </c>
      <c r="BI36" s="2">
        <v>3555</v>
      </c>
      <c r="BJ36" s="2">
        <v>97200</v>
      </c>
    </row>
    <row r="37" spans="12:62" x14ac:dyDescent="0.25">
      <c r="L37" s="19" t="s">
        <v>363</v>
      </c>
      <c r="M37" s="2">
        <v>93877</v>
      </c>
      <c r="N37" s="2">
        <v>3967</v>
      </c>
      <c r="O37" s="2">
        <v>97844</v>
      </c>
      <c r="V37" s="42"/>
      <c r="W37" s="42"/>
      <c r="X37" s="42"/>
      <c r="Y37" s="42"/>
      <c r="Z37" s="42"/>
      <c r="AA37" s="42"/>
      <c r="AB37" s="42"/>
      <c r="AC37" s="42"/>
      <c r="AD37" s="42"/>
      <c r="AE37" s="42"/>
      <c r="AF37" s="42"/>
      <c r="AG37" s="42"/>
      <c r="AH37" s="42"/>
      <c r="AI37" s="42"/>
      <c r="AJ37" s="42"/>
      <c r="AK37" s="42"/>
      <c r="AL37" s="42"/>
      <c r="AM37" s="42"/>
      <c r="AN37" s="42"/>
      <c r="AO37" s="42"/>
      <c r="AP37" s="117"/>
      <c r="AQ37" s="117"/>
      <c r="AR37" s="117"/>
      <c r="AS37" s="117"/>
      <c r="AT37" s="117"/>
      <c r="AU37" s="42"/>
      <c r="AV37" s="117"/>
      <c r="BC37" s="42"/>
      <c r="BD37" s="42"/>
      <c r="BE37" s="42"/>
      <c r="BG37" s="19" t="s">
        <v>362</v>
      </c>
      <c r="BH37" s="2">
        <v>93731</v>
      </c>
      <c r="BI37" s="2">
        <v>3734</v>
      </c>
      <c r="BJ37" s="2">
        <v>97465</v>
      </c>
    </row>
    <row r="38" spans="12:62" x14ac:dyDescent="0.25">
      <c r="L38" s="19" t="s">
        <v>364</v>
      </c>
      <c r="M38" s="2">
        <v>92213</v>
      </c>
      <c r="N38" s="2">
        <v>3801</v>
      </c>
      <c r="O38" s="2">
        <v>96014</v>
      </c>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6" t="s">
        <v>226</v>
      </c>
      <c r="AX38" t="s">
        <v>42</v>
      </c>
      <c r="AY38" s="42" t="s">
        <v>1</v>
      </c>
      <c r="AZ38" s="42" t="s">
        <v>241</v>
      </c>
      <c r="BA38" s="42" t="s">
        <v>282</v>
      </c>
      <c r="BB38" s="42" t="s">
        <v>238</v>
      </c>
      <c r="BC38" s="42" t="s">
        <v>239</v>
      </c>
      <c r="BD38" s="45" t="s">
        <v>285</v>
      </c>
      <c r="BE38" s="35" t="s">
        <v>284</v>
      </c>
      <c r="BG38" s="19" t="s">
        <v>363</v>
      </c>
      <c r="BH38" s="2">
        <v>93877</v>
      </c>
      <c r="BI38" s="2">
        <v>3967</v>
      </c>
      <c r="BJ38" s="2">
        <v>97844</v>
      </c>
    </row>
    <row r="39" spans="12:62" x14ac:dyDescent="0.25">
      <c r="L39" s="19" t="s">
        <v>365</v>
      </c>
      <c r="M39" s="2">
        <v>92245</v>
      </c>
      <c r="N39" s="2">
        <v>3974</v>
      </c>
      <c r="O39" s="2">
        <v>96219</v>
      </c>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21" t="s">
        <v>44</v>
      </c>
      <c r="AX39" s="35">
        <f>(VLOOKUP(AW39,$W$8:$AU$1048576,25,FALSE))/7</f>
        <v>96675</v>
      </c>
      <c r="AY39" s="35">
        <f>(VLOOKUP(AW39,$W$8:$AU$1048576,7,FALSE))/7</f>
        <v>13855.142857142857</v>
      </c>
      <c r="AZ39" s="35">
        <f>(VLOOKUP(AW39,$W$8:$AU$1048576,10,FALSE))/7</f>
        <v>18106.428571428572</v>
      </c>
      <c r="BA39" s="35">
        <f>(VLOOKUP(AW39,$W$8:$AU$1048576,13,FALSE))/7</f>
        <v>17178</v>
      </c>
      <c r="BB39" s="35">
        <f>(VLOOKUP(AW39,$W$8:$AU$1048576,19,FALSE))/7</f>
        <v>13149.714285714286</v>
      </c>
      <c r="BC39" s="35">
        <f>(VLOOKUP(AW39,$W$8:$AU$1048576,22,FALSE))/7</f>
        <v>9592.1428571428569</v>
      </c>
      <c r="BD39" s="35">
        <f>(VLOOKUP(AW39,$W$8:$AU$1048576,4,FALSE))/7</f>
        <v>10120.714285714286</v>
      </c>
      <c r="BE39" s="35">
        <f>(VLOOKUP(AW39,$W$8:$AU$1048576,16,FALSE))/7</f>
        <v>14672.857142857143</v>
      </c>
      <c r="BG39" s="19" t="s">
        <v>364</v>
      </c>
      <c r="BH39" s="2">
        <v>92213</v>
      </c>
      <c r="BI39" s="2">
        <v>3801</v>
      </c>
      <c r="BJ39" s="2">
        <v>96014</v>
      </c>
    </row>
    <row r="40" spans="12:62" x14ac:dyDescent="0.25">
      <c r="L40" s="19" t="s">
        <v>366</v>
      </c>
      <c r="M40" s="2">
        <v>93057</v>
      </c>
      <c r="N40" s="2">
        <v>4520</v>
      </c>
      <c r="O40" s="2">
        <v>97577</v>
      </c>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20" t="s">
        <v>45</v>
      </c>
      <c r="AX40" s="35">
        <f t="shared" ref="AX40:AX52" si="20">(VLOOKUP(AW40,$W$8:$AU$1048576,25,FALSE))/7</f>
        <v>97067.71428571429</v>
      </c>
      <c r="AY40" s="35">
        <f t="shared" ref="AY40:AY52" si="21">(VLOOKUP(AW40,$W$8:$AU$1048576,7,FALSE))/7</f>
        <v>13886.571428571429</v>
      </c>
      <c r="AZ40" s="35">
        <f t="shared" ref="AZ40:AZ52" si="22">(VLOOKUP(AW40,$W$8:$AU$1048576,10,FALSE))/7</f>
        <v>18141.571428571428</v>
      </c>
      <c r="BA40" s="35">
        <f t="shared" ref="BA40:BA52" si="23">(VLOOKUP(AW40,$W$8:$AU$1048576,13,FALSE))/7</f>
        <v>17220.571428571428</v>
      </c>
      <c r="BB40" s="35">
        <f t="shared" ref="BB40:BB52" si="24">(VLOOKUP(AW40,$W$8:$AU$1048576,19,FALSE))/7</f>
        <v>13429.857142857143</v>
      </c>
      <c r="BC40" s="35">
        <f t="shared" ref="BC40:BC52" si="25">(VLOOKUP(AW40,$W$8:$AU$1048576,22,FALSE))/7</f>
        <v>9659.8571428571431</v>
      </c>
      <c r="BD40" s="35">
        <f t="shared" ref="BD40:BD52" si="26">(VLOOKUP(AW40,$W$8:$AU$1048576,4,FALSE))/7</f>
        <v>9961.4285714285706</v>
      </c>
      <c r="BE40" s="35">
        <f t="shared" ref="BE40:BE52" si="27">(VLOOKUP(AW40,$W$8:$AU$1048576,16,FALSE))/7</f>
        <v>14767.857142857143</v>
      </c>
      <c r="BG40" s="19" t="s">
        <v>365</v>
      </c>
      <c r="BH40" s="2">
        <v>92245</v>
      </c>
      <c r="BI40" s="2">
        <v>3974</v>
      </c>
      <c r="BJ40" s="2">
        <v>96219</v>
      </c>
    </row>
    <row r="41" spans="12:62" x14ac:dyDescent="0.25">
      <c r="L41" s="19" t="s">
        <v>369</v>
      </c>
      <c r="M41" s="2">
        <v>94077</v>
      </c>
      <c r="N41" s="2">
        <v>4872</v>
      </c>
      <c r="O41" s="2">
        <v>98949</v>
      </c>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20" t="s">
        <v>46</v>
      </c>
      <c r="AX41" s="35">
        <f t="shared" si="20"/>
        <v>97017.857142857145</v>
      </c>
      <c r="AY41" s="35">
        <f t="shared" si="21"/>
        <v>13871</v>
      </c>
      <c r="AZ41" s="35">
        <f t="shared" si="22"/>
        <v>18120.142857142859</v>
      </c>
      <c r="BA41" s="35">
        <f t="shared" si="23"/>
        <v>17164.285714285714</v>
      </c>
      <c r="BB41" s="35">
        <f t="shared" si="24"/>
        <v>13420.857142857143</v>
      </c>
      <c r="BC41" s="35">
        <f t="shared" si="25"/>
        <v>9659.4285714285706</v>
      </c>
      <c r="BD41" s="35">
        <f t="shared" si="26"/>
        <v>10067.428571428571</v>
      </c>
      <c r="BE41" s="35">
        <f t="shared" si="27"/>
        <v>14714.714285714286</v>
      </c>
      <c r="BG41" s="19" t="s">
        <v>366</v>
      </c>
      <c r="BH41" s="2">
        <v>93057</v>
      </c>
      <c r="BI41" s="2">
        <v>4520</v>
      </c>
      <c r="BJ41" s="2">
        <v>97577</v>
      </c>
    </row>
    <row r="42" spans="12:62" x14ac:dyDescent="0.25">
      <c r="L42" s="19" t="s">
        <v>370</v>
      </c>
      <c r="M42" s="2">
        <v>94236</v>
      </c>
      <c r="N42" s="2">
        <v>4747</v>
      </c>
      <c r="O42" s="2">
        <v>98983</v>
      </c>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20" t="s">
        <v>47</v>
      </c>
      <c r="AX42" s="35">
        <f t="shared" si="20"/>
        <v>95816.71428571429</v>
      </c>
      <c r="AY42" s="35">
        <f t="shared" si="21"/>
        <v>13684.428571428571</v>
      </c>
      <c r="AZ42" s="35">
        <f t="shared" si="22"/>
        <v>17985.857142857141</v>
      </c>
      <c r="BA42" s="35">
        <f t="shared" si="23"/>
        <v>16947.285714285714</v>
      </c>
      <c r="BB42" s="35">
        <f t="shared" si="24"/>
        <v>13131.285714285714</v>
      </c>
      <c r="BC42" s="35">
        <f t="shared" si="25"/>
        <v>9491.1428571428569</v>
      </c>
      <c r="BD42" s="35">
        <f t="shared" si="26"/>
        <v>10068.571428571429</v>
      </c>
      <c r="BE42" s="35">
        <f t="shared" si="27"/>
        <v>14508.142857142857</v>
      </c>
      <c r="BG42" s="19" t="s">
        <v>369</v>
      </c>
      <c r="BH42" s="2">
        <v>94077</v>
      </c>
      <c r="BI42" s="2">
        <v>4872</v>
      </c>
      <c r="BJ42" s="2">
        <v>98949</v>
      </c>
    </row>
    <row r="43" spans="12:62" x14ac:dyDescent="0.25">
      <c r="L43" s="19" t="s">
        <v>371</v>
      </c>
      <c r="M43" s="2">
        <v>94235</v>
      </c>
      <c r="N43" s="2">
        <v>4572</v>
      </c>
      <c r="O43" s="2">
        <v>98807</v>
      </c>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20" t="s">
        <v>48</v>
      </c>
      <c r="AX43" s="35">
        <f t="shared" si="20"/>
        <v>97143.142857142855</v>
      </c>
      <c r="AY43" s="35">
        <f t="shared" si="21"/>
        <v>13834.285714285714</v>
      </c>
      <c r="AZ43" s="35">
        <f t="shared" si="22"/>
        <v>17884.857142857141</v>
      </c>
      <c r="BA43" s="35">
        <f t="shared" si="23"/>
        <v>17244.714285714286</v>
      </c>
      <c r="BB43" s="35">
        <f t="shared" si="24"/>
        <v>13453.857142857143</v>
      </c>
      <c r="BC43" s="35">
        <f t="shared" si="25"/>
        <v>9704</v>
      </c>
      <c r="BD43" s="35">
        <f t="shared" si="26"/>
        <v>10266.571428571429</v>
      </c>
      <c r="BE43" s="35">
        <f t="shared" si="27"/>
        <v>14754.857142857143</v>
      </c>
      <c r="BG43" s="19" t="s">
        <v>370</v>
      </c>
      <c r="BH43" s="2">
        <v>94236</v>
      </c>
      <c r="BI43" s="2">
        <v>4747</v>
      </c>
      <c r="BJ43" s="2">
        <v>98983</v>
      </c>
    </row>
    <row r="44" spans="12:62" x14ac:dyDescent="0.25">
      <c r="L44" s="19" t="s">
        <v>372</v>
      </c>
      <c r="M44" s="2">
        <v>93718</v>
      </c>
      <c r="N44" s="2">
        <v>4384</v>
      </c>
      <c r="O44" s="2">
        <v>98102</v>
      </c>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20" t="s">
        <v>49</v>
      </c>
      <c r="AX44" s="35">
        <f t="shared" si="20"/>
        <v>98417.571428571435</v>
      </c>
      <c r="AY44" s="35">
        <f t="shared" si="21"/>
        <v>14052</v>
      </c>
      <c r="AZ44" s="35">
        <f t="shared" si="22"/>
        <v>18403.714285714286</v>
      </c>
      <c r="BA44" s="35">
        <f t="shared" si="23"/>
        <v>17389</v>
      </c>
      <c r="BB44" s="35">
        <f t="shared" si="24"/>
        <v>13478.857142857143</v>
      </c>
      <c r="BC44" s="35">
        <f t="shared" si="25"/>
        <v>9859.4285714285706</v>
      </c>
      <c r="BD44" s="35">
        <f t="shared" si="26"/>
        <v>10352.857142857143</v>
      </c>
      <c r="BE44" s="35">
        <f t="shared" si="27"/>
        <v>14881.714285714286</v>
      </c>
      <c r="BG44" s="19" t="s">
        <v>371</v>
      </c>
      <c r="BH44" s="2">
        <v>94235</v>
      </c>
      <c r="BI44" s="2">
        <v>4572</v>
      </c>
      <c r="BJ44" s="2">
        <v>98807</v>
      </c>
    </row>
    <row r="45" spans="12:62" x14ac:dyDescent="0.25">
      <c r="L45" s="19" t="s">
        <v>373</v>
      </c>
      <c r="M45" s="2">
        <v>93670</v>
      </c>
      <c r="N45" s="2">
        <v>4047</v>
      </c>
      <c r="O45" s="2">
        <v>97717</v>
      </c>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20" t="s">
        <v>50</v>
      </c>
      <c r="AX45" s="35">
        <f t="shared" si="20"/>
        <v>98204</v>
      </c>
      <c r="AY45" s="35">
        <f t="shared" si="21"/>
        <v>14070.571428571429</v>
      </c>
      <c r="AZ45" s="35">
        <f t="shared" si="22"/>
        <v>18380.285714285714</v>
      </c>
      <c r="BA45" s="35">
        <f t="shared" si="23"/>
        <v>17355.714285714286</v>
      </c>
      <c r="BB45" s="35">
        <f t="shared" si="24"/>
        <v>13523</v>
      </c>
      <c r="BC45" s="35">
        <f t="shared" si="25"/>
        <v>9820.4285714285706</v>
      </c>
      <c r="BD45" s="35">
        <f t="shared" si="26"/>
        <v>10319.285714285714</v>
      </c>
      <c r="BE45" s="35">
        <f t="shared" si="27"/>
        <v>14734.714285714286</v>
      </c>
      <c r="BG45" s="19" t="s">
        <v>372</v>
      </c>
      <c r="BH45" s="2">
        <v>93718</v>
      </c>
      <c r="BI45" s="2">
        <v>4384</v>
      </c>
      <c r="BJ45" s="2">
        <v>98102</v>
      </c>
    </row>
    <row r="46" spans="12:62" x14ac:dyDescent="0.25">
      <c r="L46" s="19" t="s">
        <v>374</v>
      </c>
      <c r="M46" s="2">
        <v>93883</v>
      </c>
      <c r="N46" s="2">
        <v>4083</v>
      </c>
      <c r="O46" s="2">
        <v>97966</v>
      </c>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20" t="s">
        <v>51</v>
      </c>
      <c r="AX46" s="35">
        <f t="shared" si="20"/>
        <v>97990</v>
      </c>
      <c r="AY46" s="35">
        <f t="shared" si="21"/>
        <v>14038.857142857143</v>
      </c>
      <c r="AZ46" s="35">
        <f t="shared" si="22"/>
        <v>18287.857142857141</v>
      </c>
      <c r="BA46" s="35">
        <f t="shared" si="23"/>
        <v>17282.428571428572</v>
      </c>
      <c r="BB46" s="35">
        <f t="shared" si="24"/>
        <v>13473.142857142857</v>
      </c>
      <c r="BC46" s="35">
        <f t="shared" si="25"/>
        <v>9806.8571428571431</v>
      </c>
      <c r="BD46" s="35">
        <f t="shared" si="26"/>
        <v>10234.714285714286</v>
      </c>
      <c r="BE46" s="35">
        <f t="shared" si="27"/>
        <v>14866.142857142857</v>
      </c>
      <c r="BG46" s="19" t="s">
        <v>373</v>
      </c>
      <c r="BH46" s="2">
        <v>93670</v>
      </c>
      <c r="BI46" s="2">
        <v>4047</v>
      </c>
      <c r="BJ46" s="2">
        <v>97717</v>
      </c>
    </row>
    <row r="47" spans="12:62" x14ac:dyDescent="0.25">
      <c r="L47" s="19" t="s">
        <v>375</v>
      </c>
      <c r="M47" s="2">
        <v>94020</v>
      </c>
      <c r="N47" s="2">
        <v>4379</v>
      </c>
      <c r="O47" s="2">
        <v>98399</v>
      </c>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20" t="s">
        <v>52</v>
      </c>
      <c r="AX47" s="35">
        <f t="shared" si="20"/>
        <v>98031.142857142855</v>
      </c>
      <c r="AY47" s="35">
        <f t="shared" si="21"/>
        <v>14066.857142857143</v>
      </c>
      <c r="AZ47" s="35">
        <f t="shared" si="22"/>
        <v>18089.142857142859</v>
      </c>
      <c r="BA47" s="35">
        <f t="shared" si="23"/>
        <v>17287.285714285714</v>
      </c>
      <c r="BB47" s="35">
        <f t="shared" si="24"/>
        <v>13525.428571428571</v>
      </c>
      <c r="BC47" s="35">
        <f t="shared" si="25"/>
        <v>9887</v>
      </c>
      <c r="BD47" s="35">
        <f t="shared" si="26"/>
        <v>10248.571428571429</v>
      </c>
      <c r="BE47" s="35">
        <f t="shared" si="27"/>
        <v>14926.857142857143</v>
      </c>
      <c r="BG47" s="19" t="s">
        <v>374</v>
      </c>
      <c r="BH47" s="2">
        <v>93883</v>
      </c>
      <c r="BI47" s="2">
        <v>4083</v>
      </c>
      <c r="BJ47" s="2">
        <v>97966</v>
      </c>
    </row>
    <row r="48" spans="12:62" x14ac:dyDescent="0.25">
      <c r="L48" s="19" t="s">
        <v>378</v>
      </c>
      <c r="M48" s="2">
        <v>93908</v>
      </c>
      <c r="N48" s="2">
        <v>4522</v>
      </c>
      <c r="O48" s="2">
        <v>98430</v>
      </c>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20" t="s">
        <v>53</v>
      </c>
      <c r="AX48" s="35">
        <f t="shared" si="20"/>
        <v>97854.71428571429</v>
      </c>
      <c r="AY48" s="35">
        <f t="shared" si="21"/>
        <v>14048</v>
      </c>
      <c r="AZ48" s="35">
        <f t="shared" si="22"/>
        <v>18292.285714285714</v>
      </c>
      <c r="BA48" s="35">
        <f t="shared" si="23"/>
        <v>17194</v>
      </c>
      <c r="BB48" s="35">
        <f t="shared" si="24"/>
        <v>13470</v>
      </c>
      <c r="BC48" s="35">
        <f t="shared" si="25"/>
        <v>9854.1428571428569</v>
      </c>
      <c r="BD48" s="35">
        <f t="shared" si="26"/>
        <v>10252.142857142857</v>
      </c>
      <c r="BE48" s="35">
        <f t="shared" si="27"/>
        <v>14744.142857142857</v>
      </c>
      <c r="BG48" s="19" t="s">
        <v>375</v>
      </c>
      <c r="BH48" s="2">
        <v>94020</v>
      </c>
      <c r="BI48" s="2">
        <v>4379</v>
      </c>
      <c r="BJ48" s="2">
        <v>98399</v>
      </c>
    </row>
    <row r="49" spans="12:62" x14ac:dyDescent="0.25">
      <c r="L49" s="19" t="s">
        <v>379</v>
      </c>
      <c r="M49" s="2">
        <v>93945</v>
      </c>
      <c r="N49" s="2">
        <v>4456</v>
      </c>
      <c r="O49" s="2">
        <v>98401</v>
      </c>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20" t="s">
        <v>54</v>
      </c>
      <c r="AX49" s="35">
        <f t="shared" si="20"/>
        <v>97860.142857142855</v>
      </c>
      <c r="AY49" s="35">
        <f t="shared" si="21"/>
        <v>14047.428571428571</v>
      </c>
      <c r="AZ49" s="35">
        <f t="shared" si="22"/>
        <v>18279</v>
      </c>
      <c r="BA49" s="35">
        <f t="shared" si="23"/>
        <v>17228</v>
      </c>
      <c r="BB49" s="35">
        <f t="shared" si="24"/>
        <v>13413.428571428571</v>
      </c>
      <c r="BC49" s="35">
        <f t="shared" si="25"/>
        <v>9843.7142857142862</v>
      </c>
      <c r="BD49" s="35">
        <f>(VLOOKUP(AW49,$W$8:$AU$1048576,4,FALSE))/7</f>
        <v>10218.142857142857</v>
      </c>
      <c r="BE49" s="35">
        <f t="shared" si="27"/>
        <v>14830.428571428571</v>
      </c>
      <c r="BG49" s="19" t="s">
        <v>378</v>
      </c>
      <c r="BH49" s="2">
        <v>93908</v>
      </c>
      <c r="BI49" s="2">
        <v>4522</v>
      </c>
      <c r="BJ49" s="2">
        <v>98430</v>
      </c>
    </row>
    <row r="50" spans="12:62" x14ac:dyDescent="0.25">
      <c r="L50" s="19" t="s">
        <v>380</v>
      </c>
      <c r="M50" s="2">
        <v>94332</v>
      </c>
      <c r="N50" s="2">
        <v>4184</v>
      </c>
      <c r="O50" s="2">
        <v>98516</v>
      </c>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20" t="s">
        <v>55</v>
      </c>
      <c r="AX50" s="35">
        <f t="shared" si="20"/>
        <v>97790.28571428571</v>
      </c>
      <c r="AY50" s="35">
        <f t="shared" si="21"/>
        <v>13978.428571428571</v>
      </c>
      <c r="AZ50" s="35">
        <f t="shared" si="22"/>
        <v>18324.714285714286</v>
      </c>
      <c r="BA50" s="35">
        <f t="shared" si="23"/>
        <v>17222.428571428572</v>
      </c>
      <c r="BB50" s="35">
        <f t="shared" si="24"/>
        <v>13392.571428571429</v>
      </c>
      <c r="BC50" s="35">
        <f t="shared" si="25"/>
        <v>9829.4285714285706</v>
      </c>
      <c r="BD50" s="35">
        <f t="shared" si="26"/>
        <v>10218.285714285714</v>
      </c>
      <c r="BE50" s="35">
        <f t="shared" si="27"/>
        <v>14824.428571428571</v>
      </c>
      <c r="BG50" s="19" t="s">
        <v>379</v>
      </c>
      <c r="BH50" s="2">
        <v>93945</v>
      </c>
      <c r="BI50" s="2">
        <v>4456</v>
      </c>
      <c r="BJ50" s="2">
        <v>98401</v>
      </c>
    </row>
    <row r="51" spans="12:62" x14ac:dyDescent="0.25">
      <c r="L51" s="19" t="s">
        <v>381</v>
      </c>
      <c r="M51" s="2">
        <v>94353</v>
      </c>
      <c r="N51" s="2">
        <v>4058</v>
      </c>
      <c r="O51" s="2">
        <v>98411</v>
      </c>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20" t="s">
        <v>56</v>
      </c>
      <c r="AX51" s="35">
        <f>(VLOOKUP(AW51,$W$8:$AU$1048576,25,FALSE))/7</f>
        <v>97553.857142857145</v>
      </c>
      <c r="AY51" s="35">
        <f t="shared" si="21"/>
        <v>13665.857142857143</v>
      </c>
      <c r="AZ51" s="35">
        <f t="shared" si="22"/>
        <v>18337.142857142859</v>
      </c>
      <c r="BA51" s="35">
        <f t="shared" si="23"/>
        <v>17188.714285714286</v>
      </c>
      <c r="BB51" s="35">
        <f t="shared" si="24"/>
        <v>13425</v>
      </c>
      <c r="BC51" s="35">
        <f t="shared" si="25"/>
        <v>9874</v>
      </c>
      <c r="BD51" s="35">
        <f t="shared" si="26"/>
        <v>10241.142857142857</v>
      </c>
      <c r="BE51" s="35">
        <f t="shared" si="27"/>
        <v>14822</v>
      </c>
      <c r="BG51" s="19" t="s">
        <v>380</v>
      </c>
      <c r="BH51" s="2">
        <v>94332</v>
      </c>
      <c r="BI51" s="2">
        <v>4184</v>
      </c>
      <c r="BJ51" s="2">
        <v>98516</v>
      </c>
    </row>
    <row r="52" spans="12:62" x14ac:dyDescent="0.25">
      <c r="L52" s="19" t="s">
        <v>382</v>
      </c>
      <c r="M52" s="2">
        <v>94192</v>
      </c>
      <c r="N52" s="2">
        <v>3822</v>
      </c>
      <c r="O52" s="2">
        <v>98014</v>
      </c>
      <c r="AW52" s="20" t="s">
        <v>57</v>
      </c>
      <c r="AX52" s="35" t="e">
        <f t="shared" si="20"/>
        <v>#N/A</v>
      </c>
      <c r="AY52" s="35" t="e">
        <f t="shared" si="21"/>
        <v>#N/A</v>
      </c>
      <c r="AZ52" s="35" t="e">
        <f t="shared" si="22"/>
        <v>#N/A</v>
      </c>
      <c r="BA52" s="35" t="e">
        <f t="shared" si="23"/>
        <v>#N/A</v>
      </c>
      <c r="BB52" s="35" t="e">
        <f t="shared" si="24"/>
        <v>#N/A</v>
      </c>
      <c r="BC52" s="35" t="e">
        <f t="shared" si="25"/>
        <v>#N/A</v>
      </c>
      <c r="BD52" s="35" t="e">
        <f t="shared" si="26"/>
        <v>#N/A</v>
      </c>
      <c r="BE52" s="35" t="e">
        <f t="shared" si="27"/>
        <v>#N/A</v>
      </c>
      <c r="BG52" s="19" t="s">
        <v>381</v>
      </c>
      <c r="BH52" s="2">
        <v>94353</v>
      </c>
      <c r="BI52" s="2">
        <v>4058</v>
      </c>
      <c r="BJ52" s="2">
        <v>98411</v>
      </c>
    </row>
    <row r="53" spans="12:62" x14ac:dyDescent="0.25">
      <c r="L53" s="19" t="s">
        <v>383</v>
      </c>
      <c r="M53" s="2">
        <v>93923</v>
      </c>
      <c r="N53" s="2">
        <v>3869</v>
      </c>
      <c r="O53" s="2">
        <v>97792</v>
      </c>
      <c r="BG53" s="19" t="s">
        <v>382</v>
      </c>
      <c r="BH53" s="2">
        <v>94192</v>
      </c>
      <c r="BI53" s="2">
        <v>3822</v>
      </c>
      <c r="BJ53" s="2">
        <v>98014</v>
      </c>
    </row>
    <row r="54" spans="12:62" x14ac:dyDescent="0.25">
      <c r="L54" s="19" t="s">
        <v>384</v>
      </c>
      <c r="M54" s="2">
        <v>93790</v>
      </c>
      <c r="N54" s="2">
        <v>4074</v>
      </c>
      <c r="O54" s="2">
        <v>97864</v>
      </c>
      <c r="BG54" s="19" t="s">
        <v>383</v>
      </c>
      <c r="BH54" s="2">
        <v>93923</v>
      </c>
      <c r="BI54" s="2">
        <v>3869</v>
      </c>
      <c r="BJ54" s="2">
        <v>97792</v>
      </c>
    </row>
    <row r="55" spans="12:62" x14ac:dyDescent="0.25">
      <c r="L55" s="19" t="s">
        <v>387</v>
      </c>
      <c r="M55" s="2">
        <v>94302</v>
      </c>
      <c r="N55" s="2">
        <v>4237</v>
      </c>
      <c r="O55" s="2">
        <v>98539</v>
      </c>
      <c r="BG55" s="19" t="s">
        <v>384</v>
      </c>
      <c r="BH55" s="2">
        <v>93790</v>
      </c>
      <c r="BI55" s="2">
        <v>4074</v>
      </c>
      <c r="BJ55" s="2">
        <v>97864</v>
      </c>
    </row>
    <row r="56" spans="12:62" x14ac:dyDescent="0.25">
      <c r="L56" s="19" t="s">
        <v>388</v>
      </c>
      <c r="M56" s="2">
        <v>94301</v>
      </c>
      <c r="N56" s="2">
        <v>4066</v>
      </c>
      <c r="O56" s="2">
        <v>98367</v>
      </c>
      <c r="BG56" s="19" t="s">
        <v>387</v>
      </c>
      <c r="BH56" s="2">
        <v>94302</v>
      </c>
      <c r="BI56" s="2">
        <v>4237</v>
      </c>
      <c r="BJ56" s="2">
        <v>98539</v>
      </c>
    </row>
    <row r="57" spans="12:62" x14ac:dyDescent="0.25">
      <c r="L57" s="19" t="s">
        <v>389</v>
      </c>
      <c r="M57" s="2">
        <v>94341</v>
      </c>
      <c r="N57" s="2">
        <v>3907</v>
      </c>
      <c r="O57" s="2">
        <v>98248</v>
      </c>
      <c r="BG57" s="19" t="s">
        <v>388</v>
      </c>
      <c r="BH57" s="2">
        <v>94301</v>
      </c>
      <c r="BI57" s="2">
        <v>4066</v>
      </c>
      <c r="BJ57" s="2">
        <v>98367</v>
      </c>
    </row>
    <row r="58" spans="12:62" x14ac:dyDescent="0.25">
      <c r="L58" s="19" t="s">
        <v>390</v>
      </c>
      <c r="M58" s="2">
        <v>94317</v>
      </c>
      <c r="N58" s="2">
        <v>3826</v>
      </c>
      <c r="O58" s="2">
        <v>98143</v>
      </c>
      <c r="BG58" s="19" t="s">
        <v>389</v>
      </c>
      <c r="BH58" s="2">
        <v>94341</v>
      </c>
      <c r="BI58" s="2">
        <v>3907</v>
      </c>
      <c r="BJ58" s="2">
        <v>98248</v>
      </c>
    </row>
    <row r="59" spans="12:62" x14ac:dyDescent="0.25">
      <c r="L59" s="19" t="s">
        <v>391</v>
      </c>
      <c r="M59" s="2">
        <v>93944</v>
      </c>
      <c r="N59" s="2">
        <v>3417</v>
      </c>
      <c r="O59" s="2">
        <v>97361</v>
      </c>
      <c r="BG59" s="19" t="s">
        <v>390</v>
      </c>
      <c r="BH59" s="2">
        <v>94317</v>
      </c>
      <c r="BI59" s="2">
        <v>3826</v>
      </c>
      <c r="BJ59" s="2">
        <v>98143</v>
      </c>
    </row>
    <row r="60" spans="12:62" x14ac:dyDescent="0.25">
      <c r="L60" s="19" t="s">
        <v>392</v>
      </c>
      <c r="M60" s="2">
        <v>93809</v>
      </c>
      <c r="N60" s="2">
        <v>3541</v>
      </c>
      <c r="O60" s="2">
        <v>97350</v>
      </c>
      <c r="BG60" s="19" t="s">
        <v>391</v>
      </c>
      <c r="BH60" s="2">
        <v>93944</v>
      </c>
      <c r="BI60" s="2">
        <v>3417</v>
      </c>
      <c r="BJ60" s="2">
        <v>97361</v>
      </c>
    </row>
    <row r="61" spans="12:62" x14ac:dyDescent="0.25">
      <c r="L61" s="19" t="s">
        <v>393</v>
      </c>
      <c r="M61" s="2">
        <v>93897</v>
      </c>
      <c r="N61" s="2">
        <v>4025</v>
      </c>
      <c r="O61" s="2">
        <v>97922</v>
      </c>
      <c r="BG61" s="19" t="s">
        <v>392</v>
      </c>
      <c r="BH61" s="2">
        <v>93809</v>
      </c>
      <c r="BI61" s="2">
        <v>3541</v>
      </c>
      <c r="BJ61" s="2">
        <v>97350</v>
      </c>
    </row>
    <row r="62" spans="12:62" x14ac:dyDescent="0.25">
      <c r="L62" s="19" t="s">
        <v>396</v>
      </c>
      <c r="M62" s="2">
        <v>94278</v>
      </c>
      <c r="N62" s="2">
        <v>4239</v>
      </c>
      <c r="O62" s="2">
        <v>98517</v>
      </c>
      <c r="BG62" s="19" t="s">
        <v>393</v>
      </c>
      <c r="BH62" s="2">
        <v>93897</v>
      </c>
      <c r="BI62" s="2">
        <v>4025</v>
      </c>
      <c r="BJ62" s="2">
        <v>97922</v>
      </c>
    </row>
    <row r="63" spans="12:62" x14ac:dyDescent="0.25">
      <c r="L63" s="19" t="s">
        <v>397</v>
      </c>
      <c r="M63" s="2">
        <v>94272</v>
      </c>
      <c r="N63" s="2">
        <v>4222</v>
      </c>
      <c r="O63" s="2">
        <v>98494</v>
      </c>
      <c r="BG63" s="19" t="s">
        <v>396</v>
      </c>
      <c r="BH63" s="2">
        <v>94278</v>
      </c>
      <c r="BI63" s="2">
        <v>4239</v>
      </c>
      <c r="BJ63" s="2">
        <v>98517</v>
      </c>
    </row>
    <row r="64" spans="12:62" x14ac:dyDescent="0.25">
      <c r="L64" s="19" t="s">
        <v>398</v>
      </c>
      <c r="M64" s="2">
        <v>94266</v>
      </c>
      <c r="N64" s="2">
        <v>4149</v>
      </c>
      <c r="O64" s="2">
        <v>98415</v>
      </c>
      <c r="BG64" s="19" t="s">
        <v>397</v>
      </c>
      <c r="BH64" s="2">
        <v>94272</v>
      </c>
      <c r="BI64" s="2">
        <v>4222</v>
      </c>
      <c r="BJ64" s="2">
        <v>98494</v>
      </c>
    </row>
    <row r="65" spans="12:62" x14ac:dyDescent="0.25">
      <c r="L65" s="19" t="s">
        <v>399</v>
      </c>
      <c r="M65" s="2">
        <v>93075</v>
      </c>
      <c r="N65" s="2">
        <v>3956</v>
      </c>
      <c r="O65" s="2">
        <v>97031</v>
      </c>
      <c r="BG65" s="19" t="s">
        <v>398</v>
      </c>
      <c r="BH65" s="2">
        <v>94266</v>
      </c>
      <c r="BI65" s="2">
        <v>4149</v>
      </c>
      <c r="BJ65" s="2">
        <v>98415</v>
      </c>
    </row>
    <row r="66" spans="12:62" x14ac:dyDescent="0.25">
      <c r="L66" s="19" t="s">
        <v>400</v>
      </c>
      <c r="M66" s="2">
        <v>94061</v>
      </c>
      <c r="N66" s="2">
        <v>3796</v>
      </c>
      <c r="O66" s="2">
        <v>97857</v>
      </c>
      <c r="BG66" s="19" t="s">
        <v>399</v>
      </c>
      <c r="BH66" s="2">
        <v>93075</v>
      </c>
      <c r="BI66" s="2">
        <v>3956</v>
      </c>
      <c r="BJ66" s="2">
        <v>97031</v>
      </c>
    </row>
    <row r="67" spans="12:62" x14ac:dyDescent="0.25">
      <c r="L67" s="19" t="s">
        <v>401</v>
      </c>
      <c r="M67" s="2">
        <v>93866</v>
      </c>
      <c r="N67" s="2">
        <v>3806</v>
      </c>
      <c r="O67" s="2">
        <v>97672</v>
      </c>
      <c r="BG67" s="19" t="s">
        <v>400</v>
      </c>
      <c r="BH67" s="2">
        <v>94061</v>
      </c>
      <c r="BI67" s="2">
        <v>3796</v>
      </c>
      <c r="BJ67" s="2">
        <v>97857</v>
      </c>
    </row>
    <row r="68" spans="12:62" x14ac:dyDescent="0.25">
      <c r="L68" s="19" t="s">
        <v>402</v>
      </c>
      <c r="M68" s="2">
        <v>94089</v>
      </c>
      <c r="N68" s="2">
        <v>4143</v>
      </c>
      <c r="O68" s="2">
        <v>98232</v>
      </c>
      <c r="BG68" s="19" t="s">
        <v>401</v>
      </c>
      <c r="BH68" s="2">
        <v>93866</v>
      </c>
      <c r="BI68" s="2">
        <v>3806</v>
      </c>
      <c r="BJ68" s="2">
        <v>97672</v>
      </c>
    </row>
    <row r="69" spans="12:62" x14ac:dyDescent="0.25">
      <c r="L69" s="19" t="s">
        <v>405</v>
      </c>
      <c r="M69" s="2">
        <v>94286</v>
      </c>
      <c r="N69" s="2">
        <v>4278</v>
      </c>
      <c r="O69" s="2">
        <v>98564</v>
      </c>
      <c r="BG69" s="19" t="s">
        <v>402</v>
      </c>
      <c r="BH69" s="2">
        <v>94089</v>
      </c>
      <c r="BI69" s="2">
        <v>4143</v>
      </c>
      <c r="BJ69" s="2">
        <v>98232</v>
      </c>
    </row>
    <row r="70" spans="12:62" x14ac:dyDescent="0.25">
      <c r="L70" s="19" t="s">
        <v>406</v>
      </c>
      <c r="M70" s="2">
        <v>94327</v>
      </c>
      <c r="N70" s="2">
        <v>4219</v>
      </c>
      <c r="O70" s="2">
        <v>98546</v>
      </c>
      <c r="BG70" s="19" t="s">
        <v>405</v>
      </c>
      <c r="BH70" s="2">
        <v>94286</v>
      </c>
      <c r="BI70" s="2">
        <v>4278</v>
      </c>
      <c r="BJ70" s="2">
        <v>98564</v>
      </c>
    </row>
    <row r="71" spans="12:62" x14ac:dyDescent="0.25">
      <c r="L71" s="19" t="s">
        <v>407</v>
      </c>
      <c r="M71" s="2">
        <v>94298</v>
      </c>
      <c r="N71" s="2">
        <v>3899</v>
      </c>
      <c r="O71" s="2">
        <v>98197</v>
      </c>
      <c r="BG71" s="19" t="s">
        <v>406</v>
      </c>
      <c r="BH71" s="2">
        <v>94327</v>
      </c>
      <c r="BI71" s="2">
        <v>4219</v>
      </c>
      <c r="BJ71" s="2">
        <v>98546</v>
      </c>
    </row>
    <row r="72" spans="12:62" x14ac:dyDescent="0.25">
      <c r="L72" s="19" t="s">
        <v>408</v>
      </c>
      <c r="M72" s="2">
        <v>94296</v>
      </c>
      <c r="N72" s="2">
        <v>3868</v>
      </c>
      <c r="O72" s="2">
        <v>98164</v>
      </c>
      <c r="BG72" s="19" t="s">
        <v>407</v>
      </c>
      <c r="BH72" s="2">
        <v>94298</v>
      </c>
      <c r="BI72" s="2">
        <v>3899</v>
      </c>
      <c r="BJ72" s="2">
        <v>98197</v>
      </c>
    </row>
    <row r="73" spans="12:62" x14ac:dyDescent="0.25">
      <c r="L73" s="19" t="s">
        <v>409</v>
      </c>
      <c r="M73" s="2">
        <v>93670</v>
      </c>
      <c r="N73" s="2">
        <v>3542</v>
      </c>
      <c r="O73" s="2">
        <v>97212</v>
      </c>
      <c r="BG73" s="19" t="s">
        <v>408</v>
      </c>
      <c r="BH73" s="2">
        <v>94296</v>
      </c>
      <c r="BI73" s="2">
        <v>3868</v>
      </c>
      <c r="BJ73" s="2">
        <v>98164</v>
      </c>
    </row>
    <row r="74" spans="12:62" x14ac:dyDescent="0.25">
      <c r="L74" s="19" t="s">
        <v>410</v>
      </c>
      <c r="M74" s="2">
        <v>93873</v>
      </c>
      <c r="N74" s="2">
        <v>3525</v>
      </c>
      <c r="O74" s="2">
        <v>97398</v>
      </c>
      <c r="BG74" s="19" t="s">
        <v>409</v>
      </c>
      <c r="BH74" s="2">
        <v>93670</v>
      </c>
      <c r="BI74" s="2">
        <v>3542</v>
      </c>
      <c r="BJ74" s="2">
        <v>97212</v>
      </c>
    </row>
    <row r="75" spans="12:62" x14ac:dyDescent="0.25">
      <c r="L75" s="19" t="s">
        <v>411</v>
      </c>
      <c r="M75" s="2">
        <v>93207</v>
      </c>
      <c r="N75" s="2">
        <v>3695</v>
      </c>
      <c r="O75" s="2">
        <v>96902</v>
      </c>
      <c r="BG75" s="19" t="s">
        <v>410</v>
      </c>
      <c r="BH75" s="2">
        <v>93873</v>
      </c>
      <c r="BI75" s="2">
        <v>3525</v>
      </c>
      <c r="BJ75" s="2">
        <v>97398</v>
      </c>
    </row>
    <row r="76" spans="12:62" x14ac:dyDescent="0.25">
      <c r="L76" s="19" t="s">
        <v>414</v>
      </c>
      <c r="M76" s="2">
        <v>94364</v>
      </c>
      <c r="N76" s="2">
        <v>3930</v>
      </c>
      <c r="O76" s="2">
        <v>98294</v>
      </c>
      <c r="BG76" s="19" t="s">
        <v>411</v>
      </c>
      <c r="BH76" s="2">
        <v>93207</v>
      </c>
      <c r="BI76" s="2">
        <v>3695</v>
      </c>
      <c r="BJ76" s="2">
        <v>96902</v>
      </c>
    </row>
    <row r="77" spans="12:62" x14ac:dyDescent="0.25">
      <c r="L77" s="19" t="s">
        <v>415</v>
      </c>
      <c r="M77" s="2">
        <v>94321</v>
      </c>
      <c r="N77" s="2">
        <v>3839</v>
      </c>
      <c r="O77" s="2">
        <v>98160</v>
      </c>
      <c r="BG77" s="19" t="s">
        <v>414</v>
      </c>
      <c r="BH77" s="2">
        <v>94364</v>
      </c>
      <c r="BI77" s="2">
        <v>3930</v>
      </c>
      <c r="BJ77" s="2">
        <v>98294</v>
      </c>
    </row>
    <row r="78" spans="12:62" x14ac:dyDescent="0.25">
      <c r="L78" s="19" t="s">
        <v>416</v>
      </c>
      <c r="M78" s="2">
        <v>94278</v>
      </c>
      <c r="N78" s="2">
        <v>3716</v>
      </c>
      <c r="O78" s="2">
        <v>97994</v>
      </c>
      <c r="BG78" s="19" t="s">
        <v>415</v>
      </c>
      <c r="BH78" s="2">
        <v>94321</v>
      </c>
      <c r="BI78" s="2">
        <v>3839</v>
      </c>
      <c r="BJ78" s="2">
        <v>98160</v>
      </c>
    </row>
    <row r="79" spans="12:62" x14ac:dyDescent="0.25">
      <c r="L79" s="19" t="s">
        <v>417</v>
      </c>
      <c r="M79" s="2">
        <v>94428</v>
      </c>
      <c r="N79" s="2">
        <v>3556</v>
      </c>
      <c r="O79" s="2">
        <v>97984</v>
      </c>
      <c r="BG79" s="19" t="s">
        <v>416</v>
      </c>
      <c r="BH79" s="2">
        <v>94278</v>
      </c>
      <c r="BI79" s="2">
        <v>3716</v>
      </c>
      <c r="BJ79" s="2">
        <v>97994</v>
      </c>
    </row>
    <row r="80" spans="12:62" x14ac:dyDescent="0.25">
      <c r="L80" s="19" t="s">
        <v>418</v>
      </c>
      <c r="M80" s="2">
        <v>94195</v>
      </c>
      <c r="N80" s="2">
        <v>3207</v>
      </c>
      <c r="O80" s="2">
        <v>97402</v>
      </c>
      <c r="BG80" s="19" t="s">
        <v>417</v>
      </c>
      <c r="BH80" s="2">
        <v>94428</v>
      </c>
      <c r="BI80" s="2">
        <v>3556</v>
      </c>
      <c r="BJ80" s="2">
        <v>97984</v>
      </c>
    </row>
    <row r="81" spans="12:62" x14ac:dyDescent="0.25">
      <c r="L81" s="19" t="s">
        <v>419</v>
      </c>
      <c r="M81" s="2">
        <v>94198</v>
      </c>
      <c r="N81" s="2">
        <v>3332</v>
      </c>
      <c r="O81" s="2">
        <v>97530</v>
      </c>
      <c r="BG81" s="19" t="s">
        <v>418</v>
      </c>
      <c r="BH81" s="2">
        <v>94195</v>
      </c>
      <c r="BI81" s="2">
        <v>3207</v>
      </c>
      <c r="BJ81" s="2">
        <v>97402</v>
      </c>
    </row>
    <row r="82" spans="12:62" x14ac:dyDescent="0.25">
      <c r="L82" s="19" t="s">
        <v>420</v>
      </c>
      <c r="M82" s="2">
        <v>94120</v>
      </c>
      <c r="N82" s="2">
        <v>3537</v>
      </c>
      <c r="O82" s="2">
        <v>97657</v>
      </c>
      <c r="BG82" s="19" t="s">
        <v>419</v>
      </c>
      <c r="BH82" s="2">
        <v>94198</v>
      </c>
      <c r="BI82" s="2">
        <v>3332</v>
      </c>
      <c r="BJ82" s="2">
        <v>97530</v>
      </c>
    </row>
    <row r="83" spans="12:62" x14ac:dyDescent="0.25">
      <c r="L83" s="19" t="s">
        <v>423</v>
      </c>
      <c r="M83" s="2">
        <v>94344</v>
      </c>
      <c r="N83" s="2">
        <v>3795</v>
      </c>
      <c r="O83" s="2">
        <v>98139</v>
      </c>
      <c r="BG83" s="19" t="s">
        <v>420</v>
      </c>
      <c r="BH83" s="2">
        <v>94120</v>
      </c>
      <c r="BI83" s="2">
        <v>3537</v>
      </c>
      <c r="BJ83" s="2">
        <v>97657</v>
      </c>
    </row>
    <row r="84" spans="12:62" x14ac:dyDescent="0.25">
      <c r="L84" s="19" t="s">
        <v>424</v>
      </c>
      <c r="M84" s="2">
        <v>94450</v>
      </c>
      <c r="N84" s="2">
        <v>3708</v>
      </c>
      <c r="O84" s="2">
        <v>98158</v>
      </c>
      <c r="BG84" s="19" t="s">
        <v>423</v>
      </c>
      <c r="BH84" s="2">
        <v>94344</v>
      </c>
      <c r="BI84" s="2">
        <v>3795</v>
      </c>
      <c r="BJ84" s="2">
        <v>98139</v>
      </c>
    </row>
    <row r="85" spans="12:62" x14ac:dyDescent="0.25">
      <c r="L85" s="19" t="s">
        <v>425</v>
      </c>
      <c r="M85" s="2">
        <v>94442</v>
      </c>
      <c r="N85" s="2">
        <v>3556</v>
      </c>
      <c r="O85" s="2">
        <v>97998</v>
      </c>
      <c r="BG85" s="19" t="s">
        <v>424</v>
      </c>
      <c r="BH85" s="2">
        <v>94450</v>
      </c>
      <c r="BI85" s="2">
        <v>3708</v>
      </c>
      <c r="BJ85" s="2">
        <v>98158</v>
      </c>
    </row>
    <row r="86" spans="12:62" x14ac:dyDescent="0.25">
      <c r="L86" s="19" t="s">
        <v>426</v>
      </c>
      <c r="M86" s="2">
        <v>94417</v>
      </c>
      <c r="N86" s="2">
        <v>3423</v>
      </c>
      <c r="O86" s="2">
        <v>97840</v>
      </c>
      <c r="BG86" s="19" t="s">
        <v>425</v>
      </c>
      <c r="BH86" s="2">
        <v>94442</v>
      </c>
      <c r="BI86" s="2">
        <v>3556</v>
      </c>
      <c r="BJ86" s="2">
        <v>97998</v>
      </c>
    </row>
    <row r="87" spans="12:62" x14ac:dyDescent="0.25">
      <c r="L87" s="19" t="s">
        <v>427</v>
      </c>
      <c r="M87" s="2">
        <v>94144</v>
      </c>
      <c r="N87" s="2">
        <v>3220</v>
      </c>
      <c r="O87" s="2">
        <v>97364</v>
      </c>
      <c r="BG87" s="19" t="s">
        <v>426</v>
      </c>
      <c r="BH87" s="2">
        <v>94417</v>
      </c>
      <c r="BI87" s="2">
        <v>3423</v>
      </c>
      <c r="BJ87" s="2">
        <v>97840</v>
      </c>
    </row>
    <row r="88" spans="12:62" x14ac:dyDescent="0.25">
      <c r="L88" s="19" t="s">
        <v>428</v>
      </c>
      <c r="M88" s="2">
        <v>94003</v>
      </c>
      <c r="N88" s="2">
        <v>3254</v>
      </c>
      <c r="O88" s="2">
        <v>97257</v>
      </c>
      <c r="BG88" s="19" t="s">
        <v>427</v>
      </c>
      <c r="BH88" s="2">
        <v>94144</v>
      </c>
      <c r="BI88" s="2">
        <v>3220</v>
      </c>
      <c r="BJ88" s="2">
        <v>97364</v>
      </c>
    </row>
    <row r="89" spans="12:62" x14ac:dyDescent="0.25">
      <c r="L89" s="19" t="s">
        <v>429</v>
      </c>
      <c r="M89" s="2">
        <v>94214</v>
      </c>
      <c r="N89" s="2">
        <v>3562</v>
      </c>
      <c r="O89" s="2">
        <v>97776</v>
      </c>
      <c r="BG89" s="19" t="s">
        <v>428</v>
      </c>
      <c r="BH89" s="2">
        <v>94003</v>
      </c>
      <c r="BI89" s="2">
        <v>3254</v>
      </c>
      <c r="BJ89" s="2">
        <v>97257</v>
      </c>
    </row>
    <row r="90" spans="12:62" x14ac:dyDescent="0.25">
      <c r="L90" s="19" t="s">
        <v>432</v>
      </c>
      <c r="M90" s="2">
        <v>94549</v>
      </c>
      <c r="N90" s="2">
        <v>3873</v>
      </c>
      <c r="O90" s="2">
        <v>98422</v>
      </c>
      <c r="BG90" s="19" t="s">
        <v>429</v>
      </c>
      <c r="BH90" s="2">
        <v>94214</v>
      </c>
      <c r="BI90" s="2">
        <v>3562</v>
      </c>
      <c r="BJ90" s="2">
        <v>97776</v>
      </c>
    </row>
    <row r="91" spans="12:62" x14ac:dyDescent="0.25">
      <c r="L91" s="19" t="s">
        <v>433</v>
      </c>
      <c r="M91" s="2">
        <v>93633</v>
      </c>
      <c r="N91" s="2">
        <v>3758</v>
      </c>
      <c r="O91" s="2">
        <v>97391</v>
      </c>
      <c r="BG91" s="19" t="s">
        <v>432</v>
      </c>
      <c r="BH91" s="2">
        <v>94549</v>
      </c>
      <c r="BI91" s="2">
        <v>3873</v>
      </c>
      <c r="BJ91" s="2">
        <v>98422</v>
      </c>
    </row>
    <row r="92" spans="12:62" x14ac:dyDescent="0.25">
      <c r="L92" s="19" t="s">
        <v>434</v>
      </c>
      <c r="M92" s="2">
        <v>93644</v>
      </c>
      <c r="N92" s="2">
        <v>3631</v>
      </c>
      <c r="O92" s="2">
        <v>97275</v>
      </c>
      <c r="BG92" s="19" t="s">
        <v>433</v>
      </c>
      <c r="BH92" s="2">
        <v>93633</v>
      </c>
      <c r="BI92" s="2">
        <v>3758</v>
      </c>
      <c r="BJ92" s="2">
        <v>97391</v>
      </c>
    </row>
    <row r="93" spans="12:62" x14ac:dyDescent="0.25">
      <c r="L93" s="19" t="s">
        <v>435</v>
      </c>
      <c r="M93" s="2">
        <v>93729</v>
      </c>
      <c r="N93" s="2">
        <v>3451</v>
      </c>
      <c r="O93" s="2">
        <v>97180</v>
      </c>
      <c r="BG93" s="19" t="s">
        <v>434</v>
      </c>
      <c r="BH93" s="2">
        <v>93644</v>
      </c>
      <c r="BI93" s="2">
        <v>3631</v>
      </c>
      <c r="BJ93" s="2">
        <v>97275</v>
      </c>
    </row>
    <row r="94" spans="12:62" x14ac:dyDescent="0.25">
      <c r="L94" s="19" t="s">
        <v>436</v>
      </c>
      <c r="M94" s="2">
        <v>94211</v>
      </c>
      <c r="N94" s="2">
        <v>3267</v>
      </c>
      <c r="O94" s="2">
        <v>97478</v>
      </c>
      <c r="BG94" s="19" t="s">
        <v>435</v>
      </c>
      <c r="BH94" s="2">
        <v>93729</v>
      </c>
      <c r="BI94" s="2">
        <v>3451</v>
      </c>
      <c r="BJ94" s="2">
        <v>97180</v>
      </c>
    </row>
    <row r="95" spans="12:62" x14ac:dyDescent="0.25">
      <c r="L95" s="19" t="s">
        <v>437</v>
      </c>
      <c r="M95" s="2">
        <v>94003</v>
      </c>
      <c r="N95" s="2">
        <v>3260</v>
      </c>
      <c r="O95" s="2">
        <v>97263</v>
      </c>
      <c r="BG95" s="19" t="s">
        <v>436</v>
      </c>
      <c r="BH95" s="2">
        <v>94211</v>
      </c>
      <c r="BI95" s="2">
        <v>3267</v>
      </c>
      <c r="BJ95" s="2">
        <v>97478</v>
      </c>
    </row>
    <row r="96" spans="12:62" x14ac:dyDescent="0.25">
      <c r="L96" s="19" t="s">
        <v>438</v>
      </c>
      <c r="M96" s="2">
        <v>94250</v>
      </c>
      <c r="N96" s="2">
        <v>3618</v>
      </c>
      <c r="O96" s="2">
        <v>97868</v>
      </c>
      <c r="BG96" s="19" t="s">
        <v>437</v>
      </c>
      <c r="BH96" s="2">
        <v>94003</v>
      </c>
      <c r="BI96" s="2">
        <v>3260</v>
      </c>
      <c r="BJ96" s="2">
        <v>97263</v>
      </c>
    </row>
    <row r="97" spans="59:62" x14ac:dyDescent="0.25">
      <c r="BG97" s="19" t="s">
        <v>438</v>
      </c>
      <c r="BH97" s="2">
        <v>94250</v>
      </c>
      <c r="BI97" s="2">
        <v>3618</v>
      </c>
      <c r="BJ97" s="2">
        <v>97868</v>
      </c>
    </row>
  </sheetData>
  <mergeCells count="4">
    <mergeCell ref="W1:BD1"/>
    <mergeCell ref="G3:I3"/>
    <mergeCell ref="B1:I1"/>
    <mergeCell ref="L1:T1"/>
  </mergeCells>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L569"/>
  <sheetViews>
    <sheetView topLeftCell="AF131" zoomScale="90" zoomScaleNormal="90" workbookViewId="0">
      <selection activeCell="AL151" sqref="AL151:AL282"/>
    </sheetView>
  </sheetViews>
  <sheetFormatPr defaultRowHeight="15" x14ac:dyDescent="0.25"/>
  <cols>
    <col min="1" max="1" width="3.7109375" customWidth="1"/>
    <col min="2" max="2" width="13.28515625" bestFit="1" customWidth="1"/>
    <col min="3" max="3" width="11.140625" bestFit="1" customWidth="1"/>
    <col min="4" max="4" width="9.28515625" bestFit="1" customWidth="1"/>
    <col min="9" max="9" width="13.28515625" bestFit="1" customWidth="1"/>
    <col min="10" max="10" width="16.28515625" bestFit="1" customWidth="1"/>
    <col min="11" max="11" width="9.28515625" bestFit="1" customWidth="1"/>
    <col min="12" max="12" width="9.28515625" customWidth="1"/>
    <col min="13" max="13" width="9.28515625" bestFit="1" customWidth="1"/>
    <col min="14" max="14" width="9.28515625" customWidth="1"/>
    <col min="15" max="15" width="9.28515625" bestFit="1" customWidth="1"/>
    <col min="16" max="16" width="23.140625" bestFit="1" customWidth="1"/>
    <col min="17" max="17" width="9.28515625" bestFit="1" customWidth="1"/>
    <col min="18" max="18" width="21.7109375" bestFit="1" customWidth="1"/>
    <col min="19" max="19" width="9.28515625" bestFit="1" customWidth="1"/>
    <col min="20" max="20" width="20.140625" customWidth="1"/>
    <col min="21" max="21" width="9.28515625" customWidth="1"/>
    <col min="22" max="22" width="21.42578125" customWidth="1"/>
    <col min="23" max="23" width="9.28515625" customWidth="1"/>
    <col min="24" max="25" width="14.28515625" customWidth="1"/>
    <col min="38" max="38" width="78.140625" bestFit="1" customWidth="1"/>
    <col min="39" max="39" width="16.28515625" bestFit="1" customWidth="1"/>
    <col min="40" max="40" width="8.28515625" customWidth="1"/>
    <col min="41" max="41" width="8.7109375" customWidth="1"/>
    <col min="42" max="42" width="7.42578125" customWidth="1"/>
    <col min="43" max="43" width="9" customWidth="1"/>
    <col min="44" max="44" width="8.28515625" customWidth="1"/>
    <col min="45" max="45" width="11.5703125" bestFit="1" customWidth="1"/>
    <col min="46" max="46" width="12.5703125" bestFit="1" customWidth="1"/>
    <col min="47" max="47" width="9.5703125" customWidth="1"/>
    <col min="48" max="48" width="8.28515625" customWidth="1"/>
    <col min="49" max="49" width="8.7109375" customWidth="1"/>
    <col min="50" max="50" width="7.42578125" customWidth="1"/>
    <col min="51" max="51" width="9" customWidth="1"/>
    <col min="52" max="52" width="8.28515625" customWidth="1"/>
    <col min="53" max="53" width="11.5703125" bestFit="1" customWidth="1"/>
    <col min="54" max="54" width="12.5703125" bestFit="1" customWidth="1"/>
    <col min="55" max="55" width="9.5703125" customWidth="1"/>
    <col min="56" max="56" width="8.28515625" customWidth="1"/>
    <col min="57" max="57" width="8.7109375" customWidth="1"/>
    <col min="58" max="58" width="7.42578125" customWidth="1"/>
    <col min="59" max="59" width="9" customWidth="1"/>
    <col min="60" max="60" width="8.28515625" customWidth="1"/>
    <col min="61" max="61" width="11.5703125" bestFit="1" customWidth="1"/>
    <col min="62" max="62" width="12.5703125" bestFit="1" customWidth="1"/>
    <col min="63" max="63" width="9.5703125" customWidth="1"/>
    <col min="64" max="64" width="8.28515625" customWidth="1"/>
    <col min="65" max="65" width="8.7109375" customWidth="1"/>
    <col min="66" max="66" width="7.42578125" customWidth="1"/>
    <col min="67" max="67" width="9" customWidth="1"/>
    <col min="68" max="68" width="8.28515625" customWidth="1"/>
    <col min="69" max="69" width="11.5703125" bestFit="1" customWidth="1"/>
    <col min="70" max="70" width="12.5703125" bestFit="1" customWidth="1"/>
    <col min="71" max="71" width="9.5703125" customWidth="1"/>
    <col min="72" max="72" width="8.28515625" customWidth="1"/>
    <col min="73" max="73" width="8.7109375" customWidth="1"/>
    <col min="74" max="74" width="7.42578125" customWidth="1"/>
    <col min="75" max="75" width="9" customWidth="1"/>
    <col min="76" max="76" width="8.28515625" customWidth="1"/>
    <col min="77" max="77" width="11.5703125" bestFit="1" customWidth="1"/>
    <col min="78" max="78" width="12.5703125" bestFit="1" customWidth="1"/>
    <col min="79" max="79" width="9.5703125" customWidth="1"/>
    <col min="80" max="80" width="8.28515625" customWidth="1"/>
    <col min="81" max="81" width="8.7109375" customWidth="1"/>
    <col min="82" max="82" width="7.5703125" customWidth="1"/>
    <col min="83" max="83" width="9" customWidth="1"/>
    <col min="84" max="84" width="8.28515625" customWidth="1"/>
    <col min="85" max="85" width="11.5703125" bestFit="1" customWidth="1"/>
    <col min="86" max="86" width="12.5703125" bestFit="1" customWidth="1"/>
    <col min="87" max="87" width="9.5703125" bestFit="1" customWidth="1"/>
    <col min="88" max="88" width="8.28515625" customWidth="1"/>
    <col min="89" max="89" width="8.7109375" customWidth="1"/>
    <col min="90" max="90" width="7.5703125" customWidth="1"/>
    <col min="91" max="91" width="9" customWidth="1"/>
    <col min="92" max="92" width="8.28515625" customWidth="1"/>
    <col min="93" max="93" width="11.5703125" bestFit="1" customWidth="1"/>
    <col min="94" max="94" width="12.85546875" bestFit="1" customWidth="1"/>
    <col min="95" max="95" width="9.5703125" bestFit="1" customWidth="1"/>
    <col min="96" max="96" width="8.28515625" customWidth="1"/>
    <col min="97" max="97" width="8.7109375" customWidth="1"/>
    <col min="98" max="98" width="7.5703125" customWidth="1"/>
    <col min="99" max="99" width="9" customWidth="1"/>
    <col min="100" max="100" width="8.28515625" customWidth="1"/>
    <col min="101" max="101" width="11.5703125" bestFit="1" customWidth="1"/>
    <col min="102" max="102" width="12.5703125" bestFit="1" customWidth="1"/>
    <col min="103" max="103" width="9.5703125" bestFit="1" customWidth="1"/>
    <col min="104" max="104" width="8.28515625" customWidth="1"/>
    <col min="105" max="105" width="8.7109375" customWidth="1"/>
    <col min="106" max="106" width="7.5703125" customWidth="1"/>
    <col min="107" max="107" width="9" customWidth="1"/>
    <col min="108" max="108" width="8.28515625" customWidth="1"/>
    <col min="109" max="109" width="11.5703125" bestFit="1" customWidth="1"/>
    <col min="110" max="110" width="12.5703125" bestFit="1" customWidth="1"/>
    <col min="111" max="111" width="10.5703125" bestFit="1" customWidth="1"/>
    <col min="112" max="112" width="9" customWidth="1"/>
    <col min="113" max="113" width="8.7109375" customWidth="1"/>
    <col min="114" max="114" width="8.5703125" customWidth="1"/>
    <col min="115" max="115" width="9" customWidth="1"/>
    <col min="116" max="116" width="8.5703125" customWidth="1"/>
    <col min="117" max="117" width="11.5703125" bestFit="1" customWidth="1"/>
    <col min="118" max="118" width="14" bestFit="1" customWidth="1"/>
    <col min="119" max="119" width="10.5703125" bestFit="1" customWidth="1"/>
    <col min="120" max="120" width="8.5703125" customWidth="1"/>
    <col min="121" max="121" width="8.7109375" customWidth="1"/>
    <col min="122" max="122" width="8.5703125" customWidth="1"/>
    <col min="123" max="123" width="9" customWidth="1"/>
    <col min="124" max="124" width="8.5703125" customWidth="1"/>
    <col min="125" max="125" width="11.5703125" bestFit="1" customWidth="1"/>
    <col min="126" max="126" width="13.7109375" bestFit="1" customWidth="1"/>
    <col min="127" max="127" width="10.5703125" bestFit="1" customWidth="1"/>
    <col min="128" max="128" width="8.5703125" customWidth="1"/>
    <col min="129" max="129" width="8.7109375" customWidth="1"/>
    <col min="130" max="130" width="8.5703125" customWidth="1"/>
    <col min="131" max="131" width="9" customWidth="1"/>
    <col min="132" max="132" width="8.5703125" customWidth="1"/>
    <col min="133" max="133" width="11.5703125" bestFit="1" customWidth="1"/>
    <col min="134" max="134" width="14" bestFit="1" customWidth="1"/>
    <col min="135" max="135" width="10.5703125" bestFit="1" customWidth="1"/>
    <col min="136" max="136" width="8.5703125" customWidth="1"/>
    <col min="137" max="137" width="8.7109375" customWidth="1"/>
    <col min="138" max="138" width="8.5703125" customWidth="1"/>
    <col min="139" max="139" width="9" customWidth="1"/>
    <col min="140" max="140" width="8.5703125" customWidth="1"/>
    <col min="141" max="141" width="11.5703125" bestFit="1" customWidth="1"/>
    <col min="142" max="142" width="13.7109375" bestFit="1" customWidth="1"/>
  </cols>
  <sheetData>
    <row r="1" spans="2:142" s="17" customFormat="1" ht="14.45" customHeight="1" x14ac:dyDescent="0.25">
      <c r="B1" s="44" t="s">
        <v>307</v>
      </c>
      <c r="C1" s="41"/>
      <c r="D1" s="41"/>
      <c r="E1" s="41"/>
      <c r="F1" s="41"/>
      <c r="G1" s="41"/>
      <c r="H1" s="38"/>
      <c r="I1" s="151" t="s">
        <v>308</v>
      </c>
      <c r="J1" s="151"/>
      <c r="K1" s="151"/>
      <c r="L1" s="151"/>
      <c r="M1" s="151"/>
      <c r="N1" s="151"/>
      <c r="O1" s="151"/>
      <c r="P1" s="151"/>
      <c r="Q1" s="151"/>
      <c r="R1" s="151"/>
      <c r="S1" s="151"/>
      <c r="T1" s="151"/>
      <c r="U1" s="151"/>
      <c r="V1" s="151"/>
      <c r="W1" s="151"/>
      <c r="X1" s="151"/>
      <c r="Y1" s="151"/>
      <c r="Z1" s="151"/>
      <c r="AA1" s="151"/>
      <c r="AB1" s="151"/>
      <c r="AC1" s="151"/>
      <c r="AD1" s="151"/>
      <c r="AE1" s="47"/>
      <c r="AF1" s="47"/>
      <c r="AG1" s="47"/>
      <c r="AH1" s="47"/>
    </row>
    <row r="2" spans="2:142" x14ac:dyDescent="0.25">
      <c r="CI2">
        <v>7</v>
      </c>
      <c r="CJ2">
        <v>8</v>
      </c>
      <c r="CK2">
        <v>9</v>
      </c>
      <c r="CL2">
        <v>10</v>
      </c>
      <c r="CM2">
        <v>11</v>
      </c>
      <c r="CN2">
        <v>12</v>
      </c>
      <c r="CO2">
        <v>13</v>
      </c>
    </row>
    <row r="3" spans="2:142" x14ac:dyDescent="0.25">
      <c r="B3" s="18" t="s">
        <v>41</v>
      </c>
      <c r="C3" t="s" vm="1">
        <v>287</v>
      </c>
      <c r="I3" s="18" t="s">
        <v>41</v>
      </c>
      <c r="J3" t="s" vm="1">
        <v>287</v>
      </c>
      <c r="AB3" t="s">
        <v>42</v>
      </c>
      <c r="AC3" t="s">
        <v>1</v>
      </c>
      <c r="AD3" t="s">
        <v>241</v>
      </c>
      <c r="AE3" t="s">
        <v>282</v>
      </c>
      <c r="AF3" t="s">
        <v>238</v>
      </c>
      <c r="AG3" t="s">
        <v>239</v>
      </c>
      <c r="AH3" t="s">
        <v>285</v>
      </c>
      <c r="AI3" t="s">
        <v>284</v>
      </c>
      <c r="AL3" s="18" t="s">
        <v>41</v>
      </c>
      <c r="AM3" t="s" vm="1">
        <v>287</v>
      </c>
      <c r="CI3" t="s">
        <v>257</v>
      </c>
      <c r="CJ3" t="s">
        <v>258</v>
      </c>
      <c r="CK3" t="s">
        <v>259</v>
      </c>
      <c r="CL3" t="s">
        <v>260</v>
      </c>
      <c r="CM3" t="s">
        <v>261</v>
      </c>
      <c r="CN3" t="s">
        <v>262</v>
      </c>
      <c r="CO3" t="s">
        <v>263</v>
      </c>
    </row>
    <row r="4" spans="2:142" x14ac:dyDescent="0.25">
      <c r="AA4" s="42" t="s">
        <v>44</v>
      </c>
      <c r="AB4" s="3">
        <f>(VLOOKUP($AA4,$I$8:$Y$1048576,17,FALSE)/VLOOKUP($AA4,$I$8:$Y$1048576,16,FALSE))</f>
        <v>0.94888026894233257</v>
      </c>
      <c r="AC4" s="3">
        <f>(VLOOKUP($AA4,$I$8:$Y$1048576,5,FALSE)/VLOOKUP($AA4,$I$8:$Y$1048576,4,FALSE))</f>
        <v>0.95345720000824863</v>
      </c>
      <c r="AD4" s="3">
        <f>(VLOOKUP($AA4,$I$8:$Y$1048576,7,FALSE)/VLOOKUP($AA4,$I$8:$Y$1048576,6,FALSE))</f>
        <v>0.95322892421791783</v>
      </c>
      <c r="AE4" s="3">
        <f>(VLOOKUP($AA4,$I$8:$Y$1048576,9,FALSE)/VLOOKUP($AA4,$I$8:$Y$1048576,8,FALSE))</f>
        <v>0.93248008249754666</v>
      </c>
      <c r="AF4" s="3">
        <f>(VLOOKUP($AA4,$I$8:$Y$1048576,13,FALSE)/VLOOKUP($AA4,$I$8:$Y$1048576,12,FALSE))</f>
        <v>0.95727229271684333</v>
      </c>
      <c r="AG4" s="3">
        <f>(VLOOKUP($AA4,$I$8:$Y$1048576,15,FALSE)/VLOOKUP($AA4,$I$8:$Y$1048576,14,FALSE))</f>
        <v>0.94698041551865364</v>
      </c>
      <c r="AH4" s="3">
        <f>(VLOOKUP($AA4,$I$8:$Y$1048576,3,FALSE)/VLOOKUP($AA4,$I$8:$Y$1048576,2,FALSE))</f>
        <v>0.95505681417178345</v>
      </c>
      <c r="AI4" s="3">
        <f>(VLOOKUP($AA4,$I$8:$Y$1048576,11,FALSE)/VLOOKUP($AA4,$I$8:$Y$1048576,10,FALSE))</f>
        <v>0.94785317885308151</v>
      </c>
      <c r="AJ4" s="3"/>
      <c r="CA4" t="s">
        <v>49</v>
      </c>
      <c r="CB4" t="s">
        <v>49</v>
      </c>
      <c r="CC4" t="s">
        <v>49</v>
      </c>
      <c r="CD4" t="s">
        <v>49</v>
      </c>
      <c r="CE4" t="s">
        <v>49</v>
      </c>
      <c r="CF4" t="s">
        <v>49</v>
      </c>
      <c r="CG4" t="s">
        <v>49</v>
      </c>
      <c r="CH4" s="17" t="s">
        <v>249</v>
      </c>
      <c r="CI4" t="s">
        <v>50</v>
      </c>
      <c r="CJ4" t="s">
        <v>50</v>
      </c>
      <c r="CK4" t="s">
        <v>50</v>
      </c>
      <c r="CL4" t="s">
        <v>50</v>
      </c>
      <c r="CM4" t="s">
        <v>50</v>
      </c>
      <c r="CN4" t="s">
        <v>50</v>
      </c>
      <c r="CO4" t="s">
        <v>50</v>
      </c>
      <c r="CP4" s="17" t="s">
        <v>250</v>
      </c>
      <c r="CQ4" t="s">
        <v>51</v>
      </c>
      <c r="CR4" t="s">
        <v>51</v>
      </c>
      <c r="CS4" t="s">
        <v>51</v>
      </c>
      <c r="CT4" t="s">
        <v>51</v>
      </c>
      <c r="CU4" t="s">
        <v>51</v>
      </c>
      <c r="CV4" t="s">
        <v>51</v>
      </c>
      <c r="CW4" t="s">
        <v>51</v>
      </c>
      <c r="CX4" s="17" t="s">
        <v>251</v>
      </c>
      <c r="CY4" t="s">
        <v>52</v>
      </c>
      <c r="CZ4" t="s">
        <v>52</v>
      </c>
      <c r="DA4" t="s">
        <v>52</v>
      </c>
      <c r="DB4" t="s">
        <v>52</v>
      </c>
      <c r="DC4" t="s">
        <v>52</v>
      </c>
      <c r="DD4" t="s">
        <v>52</v>
      </c>
      <c r="DE4" t="s">
        <v>52</v>
      </c>
      <c r="DF4" s="17" t="s">
        <v>252</v>
      </c>
      <c r="DG4" t="s">
        <v>248</v>
      </c>
      <c r="DH4" t="s">
        <v>248</v>
      </c>
      <c r="DI4" t="s">
        <v>53</v>
      </c>
      <c r="DJ4" t="s">
        <v>53</v>
      </c>
      <c r="DK4" t="s">
        <v>53</v>
      </c>
      <c r="DL4" t="s">
        <v>53</v>
      </c>
      <c r="DM4" t="s">
        <v>53</v>
      </c>
      <c r="DN4" s="17" t="s">
        <v>253</v>
      </c>
      <c r="DO4" t="s">
        <v>54</v>
      </c>
      <c r="DP4" t="s">
        <v>54</v>
      </c>
      <c r="DQ4" t="s">
        <v>54</v>
      </c>
      <c r="DR4" t="s">
        <v>54</v>
      </c>
      <c r="DS4" t="s">
        <v>54</v>
      </c>
      <c r="DT4" t="s">
        <v>54</v>
      </c>
      <c r="DU4" t="s">
        <v>54</v>
      </c>
      <c r="DV4" s="17" t="s">
        <v>254</v>
      </c>
      <c r="DW4" t="s">
        <v>55</v>
      </c>
      <c r="DX4" t="s">
        <v>55</v>
      </c>
      <c r="DY4" t="s">
        <v>55</v>
      </c>
      <c r="DZ4" t="s">
        <v>55</v>
      </c>
      <c r="EA4" t="s">
        <v>55</v>
      </c>
      <c r="EB4" t="s">
        <v>55</v>
      </c>
      <c r="EC4" t="s">
        <v>55</v>
      </c>
      <c r="ED4" s="17" t="s">
        <v>255</v>
      </c>
      <c r="EE4" t="s">
        <v>56</v>
      </c>
      <c r="EF4" t="s">
        <v>56</v>
      </c>
      <c r="EG4" t="s">
        <v>56</v>
      </c>
      <c r="EH4" t="s">
        <v>56</v>
      </c>
      <c r="EI4" t="s">
        <v>56</v>
      </c>
      <c r="EJ4" t="s">
        <v>56</v>
      </c>
      <c r="EK4" t="s">
        <v>56</v>
      </c>
      <c r="EL4" s="17" t="s">
        <v>256</v>
      </c>
    </row>
    <row r="5" spans="2:142" x14ac:dyDescent="0.25">
      <c r="B5" s="18" t="s">
        <v>38</v>
      </c>
      <c r="C5" t="s">
        <v>59</v>
      </c>
      <c r="D5" t="s">
        <v>61</v>
      </c>
      <c r="H5" s="3"/>
      <c r="J5" s="18" t="s">
        <v>43</v>
      </c>
      <c r="Z5" s="3"/>
      <c r="AA5" s="42" t="s">
        <v>45</v>
      </c>
      <c r="AB5" s="3">
        <f t="shared" ref="AB5:AB15" si="0">(VLOOKUP($AA5,$I$8:$Y$1048576,17,FALSE)/VLOOKUP($AA5,$I$8:$Y$1048576,16,FALSE))</f>
        <v>0.94930784695220127</v>
      </c>
      <c r="AC5" s="3">
        <f t="shared" ref="AC5:AC16" si="1">(VLOOKUP($AA5,$I$8:$Y$1048576,5,FALSE)/VLOOKUP($AA5,$I$8:$Y$1048576,4,FALSE))</f>
        <v>0.94633047342756615</v>
      </c>
      <c r="AD5" s="3">
        <f t="shared" ref="AD5:AD16" si="2">(VLOOKUP($AA5,$I$8:$Y$1048576,7,FALSE)/VLOOKUP($AA5,$I$8:$Y$1048576,6,FALSE))</f>
        <v>0.9552487971588538</v>
      </c>
      <c r="AE5" s="3">
        <f t="shared" ref="AE5:AE16" si="3">(VLOOKUP($AA5,$I$8:$Y$1048576,9,FALSE)/VLOOKUP($AA5,$I$8:$Y$1048576,8,FALSE))</f>
        <v>0.93234005840191136</v>
      </c>
      <c r="AF5" s="3">
        <f t="shared" ref="AF5:AF16" si="4">(VLOOKUP($AA5,$I$8:$Y$1048576,13,FALSE)/VLOOKUP($AA5,$I$8:$Y$1048576,12,FALSE))</f>
        <v>0.96017402589113809</v>
      </c>
      <c r="AG5" s="3">
        <f t="shared" ref="AG5:AG16" si="5">(VLOOKUP($AA5,$I$8:$Y$1048576,15,FALSE)/VLOOKUP($AA5,$I$8:$Y$1048576,14,FALSE))</f>
        <v>0.94625770863218917</v>
      </c>
      <c r="AH5" s="3">
        <f t="shared" ref="AH5:AH16" si="6">(VLOOKUP($AA5,$I$8:$Y$1048576,3,FALSE)/VLOOKUP($AA5,$I$8:$Y$1048576,2,FALSE))</f>
        <v>0.96275634590563608</v>
      </c>
      <c r="AI5" s="3">
        <f t="shared" ref="AI5:AI16" si="7">(VLOOKUP($AA5,$I$8:$Y$1048576,11,FALSE)/VLOOKUP($AA5,$I$8:$Y$1048576,10,FALSE))</f>
        <v>0.94763724304715835</v>
      </c>
      <c r="AL5" s="18" t="s">
        <v>215</v>
      </c>
      <c r="AM5" s="18" t="s">
        <v>43</v>
      </c>
    </row>
    <row r="6" spans="2:142" x14ac:dyDescent="0.25">
      <c r="B6" s="19" t="s">
        <v>39</v>
      </c>
      <c r="C6" s="2">
        <v>676725</v>
      </c>
      <c r="D6" s="2">
        <v>642131</v>
      </c>
      <c r="E6" s="3"/>
      <c r="F6" s="3">
        <f>D6/C6</f>
        <v>0.94888026894233257</v>
      </c>
      <c r="G6" s="3"/>
      <c r="H6" s="3"/>
      <c r="J6" t="s">
        <v>329</v>
      </c>
      <c r="L6" t="s">
        <v>1</v>
      </c>
      <c r="N6" t="s">
        <v>241</v>
      </c>
      <c r="P6" t="s">
        <v>286</v>
      </c>
      <c r="R6" t="s">
        <v>330</v>
      </c>
      <c r="T6" t="s">
        <v>237</v>
      </c>
      <c r="V6" t="s">
        <v>331</v>
      </c>
      <c r="X6" t="s">
        <v>58</v>
      </c>
      <c r="Y6" t="s">
        <v>60</v>
      </c>
      <c r="Z6" s="3"/>
      <c r="AA6" s="42" t="s">
        <v>46</v>
      </c>
      <c r="AB6" s="3">
        <f t="shared" si="0"/>
        <v>0.94160427020062576</v>
      </c>
      <c r="AC6" s="3">
        <f t="shared" si="1"/>
        <v>0.9434586032524177</v>
      </c>
      <c r="AD6" s="3">
        <f t="shared" si="2"/>
        <v>0.95084397000969723</v>
      </c>
      <c r="AE6" s="3">
        <f t="shared" si="3"/>
        <v>0.92179775280898879</v>
      </c>
      <c r="AF6" s="3">
        <f t="shared" si="4"/>
        <v>0.95290911800395972</v>
      </c>
      <c r="AG6" s="3">
        <f t="shared" si="5"/>
        <v>0.93974798864174158</v>
      </c>
      <c r="AH6" s="3">
        <f t="shared" si="6"/>
        <v>0.95288909070269046</v>
      </c>
      <c r="AI6" s="3">
        <f t="shared" si="7"/>
        <v>0.93476889022649823</v>
      </c>
      <c r="AM6" t="s">
        <v>44</v>
      </c>
      <c r="AT6" t="s">
        <v>214</v>
      </c>
      <c r="AU6" t="s">
        <v>45</v>
      </c>
      <c r="BB6" t="s">
        <v>340</v>
      </c>
      <c r="BC6" t="s">
        <v>46</v>
      </c>
      <c r="BJ6" t="s">
        <v>349</v>
      </c>
      <c r="BK6" t="s">
        <v>47</v>
      </c>
      <c r="BR6" t="s">
        <v>358</v>
      </c>
      <c r="BS6" t="s">
        <v>48</v>
      </c>
      <c r="BZ6" t="s">
        <v>367</v>
      </c>
      <c r="CA6" t="s">
        <v>49</v>
      </c>
      <c r="CH6" t="s">
        <v>376</v>
      </c>
      <c r="CI6" t="s">
        <v>50</v>
      </c>
      <c r="CP6" t="s">
        <v>385</v>
      </c>
      <c r="CQ6" t="s">
        <v>51</v>
      </c>
      <c r="CX6" t="s">
        <v>394</v>
      </c>
      <c r="CY6" t="s">
        <v>52</v>
      </c>
      <c r="DF6" t="s">
        <v>403</v>
      </c>
      <c r="DG6" t="s">
        <v>53</v>
      </c>
      <c r="DN6" t="s">
        <v>412</v>
      </c>
      <c r="DO6" t="s">
        <v>54</v>
      </c>
      <c r="DV6" t="s">
        <v>421</v>
      </c>
      <c r="DW6" t="s">
        <v>55</v>
      </c>
      <c r="ED6" t="s">
        <v>430</v>
      </c>
      <c r="EE6" t="s">
        <v>56</v>
      </c>
      <c r="EL6" t="s">
        <v>439</v>
      </c>
    </row>
    <row r="7" spans="2:142" x14ac:dyDescent="0.25">
      <c r="B7" s="19" t="s">
        <v>332</v>
      </c>
      <c r="C7" s="2">
        <v>679474</v>
      </c>
      <c r="D7" s="2">
        <v>645030</v>
      </c>
      <c r="E7" s="3"/>
      <c r="F7" s="3">
        <f>D7/C7</f>
        <v>0.94930784695220127</v>
      </c>
      <c r="G7" s="3"/>
      <c r="H7" s="3"/>
      <c r="I7" s="18" t="s">
        <v>38</v>
      </c>
      <c r="J7" t="s">
        <v>59</v>
      </c>
      <c r="K7" t="s">
        <v>61</v>
      </c>
      <c r="L7" t="s">
        <v>59</v>
      </c>
      <c r="M7" t="s">
        <v>61</v>
      </c>
      <c r="N7" t="s">
        <v>59</v>
      </c>
      <c r="O7" t="s">
        <v>61</v>
      </c>
      <c r="P7" t="s">
        <v>59</v>
      </c>
      <c r="Q7" t="s">
        <v>61</v>
      </c>
      <c r="R7" t="s">
        <v>59</v>
      </c>
      <c r="S7" t="s">
        <v>61</v>
      </c>
      <c r="T7" t="s">
        <v>59</v>
      </c>
      <c r="U7" t="s">
        <v>61</v>
      </c>
      <c r="V7" t="s">
        <v>59</v>
      </c>
      <c r="W7" t="s">
        <v>61</v>
      </c>
      <c r="Z7" s="3"/>
      <c r="AA7" s="42" t="s">
        <v>47</v>
      </c>
      <c r="AB7" s="3">
        <f t="shared" si="0"/>
        <v>0.89356762986475669</v>
      </c>
      <c r="AC7" s="3">
        <f t="shared" si="1"/>
        <v>0.89764174087335968</v>
      </c>
      <c r="AD7" s="3">
        <f t="shared" si="2"/>
        <v>0.90876164605523391</v>
      </c>
      <c r="AE7" s="3">
        <f t="shared" si="3"/>
        <v>0.8562854565838609</v>
      </c>
      <c r="AF7" s="3">
        <f t="shared" si="4"/>
        <v>0.91147640857711676</v>
      </c>
      <c r="AG7" s="3">
        <f t="shared" si="5"/>
        <v>0.89161323339052956</v>
      </c>
      <c r="AH7" s="3">
        <f t="shared" si="6"/>
        <v>0.90692395005675364</v>
      </c>
      <c r="AI7" s="3">
        <f t="shared" si="7"/>
        <v>0.89023897909548333</v>
      </c>
      <c r="AL7" s="18" t="s">
        <v>38</v>
      </c>
      <c r="AM7" t="s">
        <v>207</v>
      </c>
      <c r="AN7" t="s">
        <v>208</v>
      </c>
      <c r="AO7" t="s">
        <v>209</v>
      </c>
      <c r="AP7" t="s">
        <v>210</v>
      </c>
      <c r="AQ7" t="s">
        <v>211</v>
      </c>
      <c r="AR7" t="s">
        <v>212</v>
      </c>
      <c r="AS7" t="s">
        <v>213</v>
      </c>
      <c r="AU7" t="s">
        <v>207</v>
      </c>
      <c r="AV7" t="s">
        <v>208</v>
      </c>
      <c r="AW7" t="s">
        <v>209</v>
      </c>
      <c r="AX7" t="s">
        <v>210</v>
      </c>
      <c r="AY7" t="s">
        <v>211</v>
      </c>
      <c r="AZ7" t="s">
        <v>212</v>
      </c>
      <c r="BA7" t="s">
        <v>213</v>
      </c>
      <c r="BC7" t="s">
        <v>207</v>
      </c>
      <c r="BD7" t="s">
        <v>208</v>
      </c>
      <c r="BE7" t="s">
        <v>209</v>
      </c>
      <c r="BF7" t="s">
        <v>210</v>
      </c>
      <c r="BG7" t="s">
        <v>211</v>
      </c>
      <c r="BH7" t="s">
        <v>212</v>
      </c>
      <c r="BI7" t="s">
        <v>213</v>
      </c>
      <c r="BK7" t="s">
        <v>207</v>
      </c>
      <c r="BL7" t="s">
        <v>208</v>
      </c>
      <c r="BM7" t="s">
        <v>209</v>
      </c>
      <c r="BN7" t="s">
        <v>210</v>
      </c>
      <c r="BO7" t="s">
        <v>211</v>
      </c>
      <c r="BP7" t="s">
        <v>212</v>
      </c>
      <c r="BQ7" t="s">
        <v>213</v>
      </c>
      <c r="BS7" t="s">
        <v>207</v>
      </c>
      <c r="BT7" t="s">
        <v>208</v>
      </c>
      <c r="BU7" t="s">
        <v>209</v>
      </c>
      <c r="BV7" t="s">
        <v>210</v>
      </c>
      <c r="BW7" t="s">
        <v>211</v>
      </c>
      <c r="BX7" t="s">
        <v>212</v>
      </c>
      <c r="BY7" t="s">
        <v>213</v>
      </c>
      <c r="CA7" t="s">
        <v>207</v>
      </c>
      <c r="CB7" t="s">
        <v>208</v>
      </c>
      <c r="CC7" t="s">
        <v>209</v>
      </c>
      <c r="CD7" t="s">
        <v>210</v>
      </c>
      <c r="CE7" t="s">
        <v>211</v>
      </c>
      <c r="CF7" t="s">
        <v>212</v>
      </c>
      <c r="CG7" t="s">
        <v>213</v>
      </c>
      <c r="CI7" t="s">
        <v>207</v>
      </c>
      <c r="CJ7" t="s">
        <v>208</v>
      </c>
      <c r="CK7" t="s">
        <v>209</v>
      </c>
      <c r="CL7" t="s">
        <v>210</v>
      </c>
      <c r="CM7" t="s">
        <v>211</v>
      </c>
      <c r="CN7" t="s">
        <v>212</v>
      </c>
      <c r="CO7" t="s">
        <v>213</v>
      </c>
      <c r="CQ7" t="s">
        <v>207</v>
      </c>
      <c r="CR7" t="s">
        <v>208</v>
      </c>
      <c r="CS7" t="s">
        <v>209</v>
      </c>
      <c r="CT7" t="s">
        <v>210</v>
      </c>
      <c r="CU7" t="s">
        <v>211</v>
      </c>
      <c r="CV7" t="s">
        <v>212</v>
      </c>
      <c r="CW7" t="s">
        <v>213</v>
      </c>
      <c r="CY7" t="s">
        <v>207</v>
      </c>
      <c r="CZ7" t="s">
        <v>208</v>
      </c>
      <c r="DA7" t="s">
        <v>209</v>
      </c>
      <c r="DB7" t="s">
        <v>210</v>
      </c>
      <c r="DC7" t="s">
        <v>211</v>
      </c>
      <c r="DD7" t="s">
        <v>212</v>
      </c>
      <c r="DE7" t="s">
        <v>213</v>
      </c>
      <c r="DG7" t="s">
        <v>207</v>
      </c>
      <c r="DH7" t="s">
        <v>208</v>
      </c>
      <c r="DI7" t="s">
        <v>209</v>
      </c>
      <c r="DJ7" t="s">
        <v>210</v>
      </c>
      <c r="DK7" t="s">
        <v>211</v>
      </c>
      <c r="DL7" t="s">
        <v>212</v>
      </c>
      <c r="DM7" t="s">
        <v>213</v>
      </c>
      <c r="DO7" t="s">
        <v>207</v>
      </c>
      <c r="DP7" t="s">
        <v>208</v>
      </c>
      <c r="DQ7" t="s">
        <v>209</v>
      </c>
      <c r="DR7" t="s">
        <v>210</v>
      </c>
      <c r="DS7" t="s">
        <v>211</v>
      </c>
      <c r="DT7" t="s">
        <v>212</v>
      </c>
      <c r="DU7" t="s">
        <v>213</v>
      </c>
      <c r="DW7" t="s">
        <v>207</v>
      </c>
      <c r="DX7" t="s">
        <v>208</v>
      </c>
      <c r="DY7" t="s">
        <v>209</v>
      </c>
      <c r="DZ7" t="s">
        <v>210</v>
      </c>
      <c r="EA7" t="s">
        <v>211</v>
      </c>
      <c r="EB7" t="s">
        <v>212</v>
      </c>
      <c r="EC7" t="s">
        <v>213</v>
      </c>
      <c r="EE7" t="s">
        <v>207</v>
      </c>
      <c r="EF7" t="s">
        <v>208</v>
      </c>
      <c r="EG7" t="s">
        <v>209</v>
      </c>
      <c r="EH7" t="s">
        <v>210</v>
      </c>
      <c r="EI7" t="s">
        <v>211</v>
      </c>
      <c r="EJ7" t="s">
        <v>212</v>
      </c>
      <c r="EK7" t="s">
        <v>213</v>
      </c>
    </row>
    <row r="8" spans="2:142" x14ac:dyDescent="0.25">
      <c r="B8" s="19" t="s">
        <v>341</v>
      </c>
      <c r="C8" s="2">
        <v>679125</v>
      </c>
      <c r="D8" s="2">
        <v>639467</v>
      </c>
      <c r="E8" s="3"/>
      <c r="F8" s="3">
        <f>D8/C8</f>
        <v>0.94160427020062576</v>
      </c>
      <c r="G8" s="3"/>
      <c r="H8" s="3"/>
      <c r="I8" s="19" t="s">
        <v>44</v>
      </c>
      <c r="J8" s="2">
        <v>70845</v>
      </c>
      <c r="K8" s="2">
        <v>67661</v>
      </c>
      <c r="L8" s="2">
        <v>96986</v>
      </c>
      <c r="M8" s="2">
        <v>92472</v>
      </c>
      <c r="N8" s="2">
        <v>126745</v>
      </c>
      <c r="O8" s="2">
        <v>120817</v>
      </c>
      <c r="P8" s="2">
        <v>120246</v>
      </c>
      <c r="Q8" s="2">
        <v>112127</v>
      </c>
      <c r="R8" s="2">
        <v>102710</v>
      </c>
      <c r="S8" s="2">
        <v>97354</v>
      </c>
      <c r="T8" s="2">
        <v>92048</v>
      </c>
      <c r="U8" s="2">
        <v>88115</v>
      </c>
      <c r="V8" s="2">
        <v>67145</v>
      </c>
      <c r="W8" s="2">
        <v>63585</v>
      </c>
      <c r="X8" s="2">
        <v>676725</v>
      </c>
      <c r="Y8" s="2">
        <v>642131</v>
      </c>
      <c r="Z8" s="3"/>
      <c r="AA8" s="42" t="s">
        <v>48</v>
      </c>
      <c r="AB8" s="3">
        <f t="shared" si="0"/>
        <v>0.94167223037579306</v>
      </c>
      <c r="AC8" s="3">
        <f t="shared" si="1"/>
        <v>0.93507847996695581</v>
      </c>
      <c r="AD8" s="3">
        <f t="shared" si="2"/>
        <v>0.95291307890154475</v>
      </c>
      <c r="AE8" s="3">
        <f t="shared" si="3"/>
        <v>0.92078732199514546</v>
      </c>
      <c r="AF8" s="3">
        <f t="shared" si="4"/>
        <v>0.95554116185480531</v>
      </c>
      <c r="AG8" s="3">
        <f t="shared" si="5"/>
        <v>0.94111412083382406</v>
      </c>
      <c r="AH8" s="3">
        <f t="shared" si="6"/>
        <v>0.95854785294854317</v>
      </c>
      <c r="AI8" s="3">
        <f t="shared" si="7"/>
        <v>0.93461717206924599</v>
      </c>
      <c r="AL8" s="19" t="s">
        <v>65</v>
      </c>
      <c r="AM8" s="32">
        <v>0.97050147492625372</v>
      </c>
      <c r="AN8" s="32">
        <v>0.98587570621468923</v>
      </c>
      <c r="AO8" s="32">
        <v>0.97058823529411764</v>
      </c>
      <c r="AP8" s="32">
        <v>0.98250728862973757</v>
      </c>
      <c r="AQ8" s="32">
        <v>0.98</v>
      </c>
      <c r="AR8" s="32">
        <v>0.98546511627906974</v>
      </c>
      <c r="AS8" s="32">
        <v>0.98280802292263614</v>
      </c>
      <c r="AT8" s="32">
        <v>0.97967797775235765</v>
      </c>
      <c r="AU8" s="32">
        <v>0.95677233429394815</v>
      </c>
      <c r="AV8" s="32">
        <v>0.98290598290598286</v>
      </c>
      <c r="AW8" s="32">
        <v>0.97142857142857142</v>
      </c>
      <c r="AX8" s="32">
        <v>0.99716713881019825</v>
      </c>
      <c r="AY8" s="32">
        <v>0.9943661971830986</v>
      </c>
      <c r="AZ8" s="32">
        <v>0.98005698005698005</v>
      </c>
      <c r="BA8" s="32">
        <v>0.99719887955182074</v>
      </c>
      <c r="BB8" s="32">
        <v>0.98284229774722853</v>
      </c>
      <c r="BC8" s="32">
        <v>0.9941860465116279</v>
      </c>
      <c r="BD8" s="32">
        <v>0.98550724637681164</v>
      </c>
      <c r="BE8" s="32">
        <v>1</v>
      </c>
      <c r="BF8" s="32">
        <v>0.99709302325581395</v>
      </c>
      <c r="BG8" s="32">
        <v>0.9821428571428571</v>
      </c>
      <c r="BH8" s="32">
        <v>0.98840579710144927</v>
      </c>
      <c r="BI8" s="32">
        <v>0.98826979472140764</v>
      </c>
      <c r="BJ8" s="32">
        <v>0.99080068072999539</v>
      </c>
      <c r="BK8" s="32">
        <v>0.99710144927536237</v>
      </c>
      <c r="BL8" s="32">
        <v>0.96978851963746227</v>
      </c>
      <c r="BM8" s="32">
        <v>0.99132947976878616</v>
      </c>
      <c r="BN8" s="32">
        <v>0.99175824175824179</v>
      </c>
      <c r="BO8" s="32">
        <v>0.98826979472140764</v>
      </c>
      <c r="BP8" s="32">
        <v>0.97058823529411764</v>
      </c>
      <c r="BQ8" s="32">
        <v>0.96802325581395354</v>
      </c>
      <c r="BR8" s="32">
        <v>0.98240842518133309</v>
      </c>
      <c r="BS8" s="32">
        <v>0.97513812154696133</v>
      </c>
      <c r="BT8" s="32">
        <v>0.98888888888888893</v>
      </c>
      <c r="BU8" s="32">
        <v>0.98898071625344353</v>
      </c>
      <c r="BV8" s="32">
        <v>0.98898071625344353</v>
      </c>
      <c r="BW8" s="32">
        <v>1</v>
      </c>
      <c r="BX8" s="32">
        <v>0.98895027624309395</v>
      </c>
      <c r="BY8" s="32">
        <v>0.99439775910364148</v>
      </c>
      <c r="BZ8" s="32">
        <v>0.98933378261278193</v>
      </c>
      <c r="CA8" s="32">
        <v>0.97752808988764039</v>
      </c>
      <c r="CB8" s="32">
        <v>0.98060941828254844</v>
      </c>
      <c r="CC8" s="32">
        <v>0.99164345403899723</v>
      </c>
      <c r="CD8" s="32">
        <v>0.99173553719008267</v>
      </c>
      <c r="CE8" s="32">
        <v>0.97252747252747251</v>
      </c>
      <c r="CF8" s="32">
        <v>0.97252747252747251</v>
      </c>
      <c r="CG8" s="32">
        <v>0.9726027397260274</v>
      </c>
      <c r="CH8" s="32">
        <v>0.97988202631146304</v>
      </c>
      <c r="CI8" s="32">
        <v>0.96561604584527216</v>
      </c>
      <c r="CJ8" s="32">
        <v>0.98066298342541436</v>
      </c>
      <c r="CK8" s="32">
        <v>0.95389048991354464</v>
      </c>
      <c r="CL8" s="32">
        <v>0.98039215686274506</v>
      </c>
      <c r="CM8" s="32">
        <v>0.97714285714285709</v>
      </c>
      <c r="CN8" s="32">
        <v>0.98888888888888893</v>
      </c>
      <c r="CO8" s="32">
        <v>0.95480225988700562</v>
      </c>
      <c r="CP8" s="32">
        <v>0.9716279545665325</v>
      </c>
      <c r="CQ8" s="32">
        <v>0.97752808988764039</v>
      </c>
      <c r="CR8" s="32">
        <v>0.9945205479452055</v>
      </c>
      <c r="CS8" s="32">
        <v>0.9774647887323944</v>
      </c>
      <c r="CT8" s="32">
        <v>0.98356164383561639</v>
      </c>
      <c r="CU8" s="32">
        <v>0.98622589531680438</v>
      </c>
      <c r="CV8" s="32">
        <v>0.98324022346368711</v>
      </c>
      <c r="CW8" s="32">
        <v>0.9887640449438202</v>
      </c>
      <c r="CX8" s="32">
        <v>0.9844721763035954</v>
      </c>
      <c r="CY8" s="32">
        <v>0.95918367346938771</v>
      </c>
      <c r="CZ8" s="32">
        <v>0.98614958448753465</v>
      </c>
      <c r="DA8" s="32">
        <v>0.95918367346938771</v>
      </c>
      <c r="DB8" s="32">
        <v>0.98245614035087714</v>
      </c>
      <c r="DC8" s="32">
        <v>0.97727272727272729</v>
      </c>
      <c r="DD8" s="32">
        <v>0.9915730337078652</v>
      </c>
      <c r="DE8" s="32">
        <v>0.9887640449438202</v>
      </c>
      <c r="DF8" s="32">
        <v>0.97779755395737145</v>
      </c>
      <c r="DG8" s="32">
        <v>0.94378698224852076</v>
      </c>
      <c r="DH8" s="32">
        <v>0.96220930232558144</v>
      </c>
      <c r="DI8" s="32">
        <v>0.89970501474926257</v>
      </c>
      <c r="DJ8" s="32">
        <v>0.95100864553314124</v>
      </c>
      <c r="DK8" s="32">
        <v>0.95918367346938771</v>
      </c>
      <c r="DL8" s="32">
        <v>0.97941176470588232</v>
      </c>
      <c r="DM8" s="32">
        <v>0.97352941176470587</v>
      </c>
      <c r="DN8" s="32">
        <v>0.95269068497092591</v>
      </c>
      <c r="DO8" s="32">
        <v>0.94476744186046513</v>
      </c>
      <c r="DP8" s="32">
        <v>0.94555873925501432</v>
      </c>
      <c r="DQ8" s="32">
        <v>0.96829971181556196</v>
      </c>
      <c r="DR8" s="32">
        <v>0.93965517241379315</v>
      </c>
      <c r="DS8" s="32">
        <v>0.93877551020408168</v>
      </c>
      <c r="DT8" s="32">
        <v>0.91569767441860461</v>
      </c>
      <c r="DU8" s="32">
        <v>0.91618497109826591</v>
      </c>
      <c r="DV8" s="32">
        <v>0.93841988872368376</v>
      </c>
      <c r="DW8" s="32">
        <v>0.9219653179190751</v>
      </c>
      <c r="DX8" s="32">
        <v>0.96551724137931039</v>
      </c>
      <c r="DY8" s="32">
        <v>0.93333333333333335</v>
      </c>
      <c r="DZ8" s="32">
        <v>0.97383720930232553</v>
      </c>
      <c r="EA8" s="32">
        <v>0.94476744186046513</v>
      </c>
      <c r="EB8" s="32">
        <v>0.95702005730659023</v>
      </c>
      <c r="EC8" s="32">
        <v>0.95072463768115945</v>
      </c>
      <c r="ED8" s="32">
        <v>0.94959503411175128</v>
      </c>
      <c r="EE8" s="32">
        <v>0.87861271676300579</v>
      </c>
      <c r="EF8" s="32">
        <v>0.97694524495677237</v>
      </c>
      <c r="EG8" s="32">
        <v>0.9514285714285714</v>
      </c>
      <c r="EH8" s="32">
        <v>0.97720797720797725</v>
      </c>
      <c r="EI8" s="32">
        <v>0.95664739884393069</v>
      </c>
      <c r="EJ8" s="32">
        <v>0.98280802292263614</v>
      </c>
      <c r="EK8" s="32">
        <v>0.94460641399416911</v>
      </c>
      <c r="EL8" s="32">
        <v>0.95260804944529465</v>
      </c>
    </row>
    <row r="9" spans="2:142" x14ac:dyDescent="0.25">
      <c r="B9" s="19" t="s">
        <v>350</v>
      </c>
      <c r="C9" s="2">
        <v>670717</v>
      </c>
      <c r="D9" s="2">
        <v>599331</v>
      </c>
      <c r="E9" s="3"/>
      <c r="F9" s="3">
        <f t="shared" ref="F9:F20" si="8">D9/C9</f>
        <v>0.89356762986475669</v>
      </c>
      <c r="G9" s="3"/>
      <c r="H9" s="3"/>
      <c r="I9" s="19" t="s">
        <v>53</v>
      </c>
      <c r="J9" s="2">
        <v>71765</v>
      </c>
      <c r="K9" s="2">
        <v>68377</v>
      </c>
      <c r="L9" s="2">
        <v>98336</v>
      </c>
      <c r="M9" s="2">
        <v>93063</v>
      </c>
      <c r="N9" s="2">
        <v>128046</v>
      </c>
      <c r="O9" s="2">
        <v>121841</v>
      </c>
      <c r="P9" s="2">
        <v>120358</v>
      </c>
      <c r="Q9" s="2">
        <v>110569</v>
      </c>
      <c r="R9" s="2">
        <v>103209</v>
      </c>
      <c r="S9" s="2">
        <v>96033</v>
      </c>
      <c r="T9" s="2">
        <v>94290</v>
      </c>
      <c r="U9" s="2">
        <v>90281</v>
      </c>
      <c r="V9" s="2">
        <v>68979</v>
      </c>
      <c r="W9" s="2">
        <v>64841</v>
      </c>
      <c r="X9" s="2">
        <v>684983</v>
      </c>
      <c r="Y9" s="2">
        <v>645005</v>
      </c>
      <c r="Z9" s="3"/>
      <c r="AA9" s="20" t="s">
        <v>49</v>
      </c>
      <c r="AB9" s="3">
        <f t="shared" si="0"/>
        <v>0.95106855192815454</v>
      </c>
      <c r="AC9" s="3">
        <f t="shared" si="1"/>
        <v>0.95087633687121309</v>
      </c>
      <c r="AD9" s="3">
        <f t="shared" si="2"/>
        <v>0.95667023737444301</v>
      </c>
      <c r="AE9" s="3">
        <f t="shared" si="3"/>
        <v>0.93615011131832115</v>
      </c>
      <c r="AF9" s="3">
        <f t="shared" si="4"/>
        <v>0.96308504324232658</v>
      </c>
      <c r="AG9" s="3">
        <f t="shared" si="5"/>
        <v>0.94578068853599162</v>
      </c>
      <c r="AH9" s="3">
        <f t="shared" si="6"/>
        <v>0.96172209190009661</v>
      </c>
      <c r="AI9" s="3">
        <f t="shared" si="7"/>
        <v>0.94696271550896594</v>
      </c>
      <c r="AL9" s="19" t="s">
        <v>66</v>
      </c>
      <c r="AM9" s="32">
        <v>0.81280788177339902</v>
      </c>
      <c r="AN9" s="32">
        <v>0.75862068965517238</v>
      </c>
      <c r="AO9" s="32">
        <v>0.80952380952380953</v>
      </c>
      <c r="AP9" s="32">
        <v>0.72486772486772488</v>
      </c>
      <c r="AQ9" s="32">
        <v>0.78325123152709364</v>
      </c>
      <c r="AR9" s="32">
        <v>0.82266009852216748</v>
      </c>
      <c r="AS9" s="32">
        <v>0.83743842364532017</v>
      </c>
      <c r="AT9" s="32">
        <v>0.79273855135924098</v>
      </c>
      <c r="AU9" s="32">
        <v>0.8571428571428571</v>
      </c>
      <c r="AV9" s="32">
        <v>0.78325123152709364</v>
      </c>
      <c r="AW9" s="32">
        <v>0.80952380952380953</v>
      </c>
      <c r="AX9" s="32">
        <v>0.75132275132275128</v>
      </c>
      <c r="AY9" s="32">
        <v>0.86206896551724133</v>
      </c>
      <c r="AZ9" s="32">
        <v>0.7931034482758621</v>
      </c>
      <c r="BA9" s="32">
        <v>0.77339901477832518</v>
      </c>
      <c r="BB9" s="32">
        <v>0.80425886829827709</v>
      </c>
      <c r="BC9" s="32">
        <v>0.81280788177339902</v>
      </c>
      <c r="BD9" s="32">
        <v>0.69458128078817738</v>
      </c>
      <c r="BE9" s="32">
        <v>0.80952380952380953</v>
      </c>
      <c r="BF9" s="32">
        <v>0.77248677248677244</v>
      </c>
      <c r="BG9" s="32">
        <v>0.76847290640394084</v>
      </c>
      <c r="BH9" s="32">
        <v>0.73399014778325122</v>
      </c>
      <c r="BI9" s="32">
        <v>0.78325123152709364</v>
      </c>
      <c r="BJ9" s="32">
        <v>0.76787343289806331</v>
      </c>
      <c r="BK9" s="32">
        <v>0.54187192118226601</v>
      </c>
      <c r="BL9" s="32">
        <v>0.69950738916256161</v>
      </c>
      <c r="BM9" s="32">
        <v>0.52380952380952384</v>
      </c>
      <c r="BN9" s="32">
        <v>0.48677248677248675</v>
      </c>
      <c r="BO9" s="32">
        <v>0.46305418719211822</v>
      </c>
      <c r="BP9" s="32">
        <v>0.62561576354679804</v>
      </c>
      <c r="BQ9" s="32">
        <v>0.44334975369458129</v>
      </c>
      <c r="BR9" s="32">
        <v>0.54056871790861938</v>
      </c>
      <c r="BS9" s="32">
        <v>0.60098522167487689</v>
      </c>
      <c r="BT9" s="32">
        <v>0.48768472906403942</v>
      </c>
      <c r="BU9" s="32">
        <v>0.65079365079365081</v>
      </c>
      <c r="BV9" s="32">
        <v>0.64021164021164023</v>
      </c>
      <c r="BW9" s="32">
        <v>0.56650246305418717</v>
      </c>
      <c r="BX9" s="32">
        <v>0.56650246305418717</v>
      </c>
      <c r="BY9" s="32">
        <v>0.55665024630541871</v>
      </c>
      <c r="BZ9" s="32">
        <v>0.58133291630828576</v>
      </c>
      <c r="CA9" s="32">
        <v>0.68965517241379315</v>
      </c>
      <c r="CB9" s="32">
        <v>0.61083743842364535</v>
      </c>
      <c r="CC9" s="32">
        <v>0.7142857142857143</v>
      </c>
      <c r="CD9" s="32">
        <v>0.64550264550264547</v>
      </c>
      <c r="CE9" s="32">
        <v>0.66995073891625612</v>
      </c>
      <c r="CF9" s="32">
        <v>0.69458128078817738</v>
      </c>
      <c r="CG9" s="32">
        <v>0.73891625615763545</v>
      </c>
      <c r="CH9" s="32">
        <v>0.6805327494982667</v>
      </c>
      <c r="CI9" s="32">
        <v>0.80310880829015541</v>
      </c>
      <c r="CJ9" s="32">
        <v>0.66321243523316065</v>
      </c>
      <c r="CK9" s="32">
        <v>0.84126984126984128</v>
      </c>
      <c r="CL9" s="32">
        <v>0.83597883597883593</v>
      </c>
      <c r="CM9" s="32">
        <v>0.73575129533678751</v>
      </c>
      <c r="CN9" s="32">
        <v>0.70466321243523311</v>
      </c>
      <c r="CO9" s="32">
        <v>0.76683937823834192</v>
      </c>
      <c r="CP9" s="32">
        <v>0.76440340096890791</v>
      </c>
      <c r="CQ9" s="32">
        <v>0.84455958549222798</v>
      </c>
      <c r="CR9" s="32">
        <v>0.81347150259067358</v>
      </c>
      <c r="CS9" s="32">
        <v>0.83597883597883593</v>
      </c>
      <c r="CT9" s="32">
        <v>0.79894179894179895</v>
      </c>
      <c r="CU9" s="32">
        <v>0.79274611398963735</v>
      </c>
      <c r="CV9" s="32">
        <v>0.79792746113989632</v>
      </c>
      <c r="CW9" s="32">
        <v>0.82383419689119175</v>
      </c>
      <c r="CX9" s="32">
        <v>0.81535135643203749</v>
      </c>
      <c r="CY9" s="32">
        <v>0.86010362694300513</v>
      </c>
      <c r="CZ9" s="32">
        <v>0.78756476683937826</v>
      </c>
      <c r="DA9" s="32">
        <v>0.78306878306878303</v>
      </c>
      <c r="DB9" s="32">
        <v>0.78835978835978837</v>
      </c>
      <c r="DC9" s="32">
        <v>0.84455958549222798</v>
      </c>
      <c r="DD9" s="32">
        <v>0.84455958549222798</v>
      </c>
      <c r="DE9" s="32">
        <v>0.85492227979274615</v>
      </c>
      <c r="DF9" s="32">
        <v>0.82330548799830816</v>
      </c>
      <c r="DG9" s="32">
        <v>0.76165803108808294</v>
      </c>
      <c r="DH9" s="32">
        <v>0.82383419689119175</v>
      </c>
      <c r="DI9" s="32">
        <v>0.7407407407407407</v>
      </c>
      <c r="DJ9" s="32">
        <v>0.77248677248677244</v>
      </c>
      <c r="DK9" s="32">
        <v>0.81865284974093266</v>
      </c>
      <c r="DL9" s="32">
        <v>0.86010362694300513</v>
      </c>
      <c r="DM9" s="32">
        <v>0.81865284974093266</v>
      </c>
      <c r="DN9" s="32">
        <v>0.79944700966166538</v>
      </c>
      <c r="DO9" s="32">
        <v>0.84974093264248707</v>
      </c>
      <c r="DP9" s="32">
        <v>0.77720207253886009</v>
      </c>
      <c r="DQ9" s="32">
        <v>0.84656084656084651</v>
      </c>
      <c r="DR9" s="32">
        <v>0.81481481481481477</v>
      </c>
      <c r="DS9" s="32">
        <v>0.88601036269430056</v>
      </c>
      <c r="DT9" s="32">
        <v>0.81347150259067358</v>
      </c>
      <c r="DU9" s="32">
        <v>0.92227979274611394</v>
      </c>
      <c r="DV9" s="32">
        <v>0.84429718922687091</v>
      </c>
      <c r="DW9" s="32">
        <v>0.83419689119170981</v>
      </c>
      <c r="DX9" s="32">
        <v>0.8393782383419689</v>
      </c>
      <c r="DY9" s="32">
        <v>0.78835978835978837</v>
      </c>
      <c r="DZ9" s="32">
        <v>0.72486772486772488</v>
      </c>
      <c r="EA9" s="32">
        <v>0.77720207253886009</v>
      </c>
      <c r="EB9" s="32">
        <v>0.8393782383419689</v>
      </c>
      <c r="EC9" s="32">
        <v>0.80310880829015541</v>
      </c>
      <c r="ED9" s="32">
        <v>0.80092739456173945</v>
      </c>
      <c r="EE9" s="32">
        <v>0.78756476683937826</v>
      </c>
      <c r="EF9" s="32">
        <v>0.7409326424870466</v>
      </c>
      <c r="EG9" s="32">
        <v>0.78835978835978837</v>
      </c>
      <c r="EH9" s="32">
        <v>0.79894179894179895</v>
      </c>
      <c r="EI9" s="32">
        <v>0.79792746113989632</v>
      </c>
      <c r="EJ9" s="32">
        <v>0.80310880829015541</v>
      </c>
      <c r="EK9" s="32">
        <v>0.81347150259067358</v>
      </c>
      <c r="EL9" s="32">
        <v>0.79004382409267671</v>
      </c>
    </row>
    <row r="10" spans="2:142" x14ac:dyDescent="0.25">
      <c r="B10" s="19" t="s">
        <v>359</v>
      </c>
      <c r="C10" s="2">
        <v>680002</v>
      </c>
      <c r="D10" s="2">
        <v>640339</v>
      </c>
      <c r="E10" s="3"/>
      <c r="F10" s="3">
        <f t="shared" si="8"/>
        <v>0.94167223037579306</v>
      </c>
      <c r="G10" s="3"/>
      <c r="H10" s="3"/>
      <c r="I10" s="19" t="s">
        <v>54</v>
      </c>
      <c r="J10" s="2">
        <v>71527</v>
      </c>
      <c r="K10" s="2">
        <v>67702</v>
      </c>
      <c r="L10" s="2">
        <v>98332</v>
      </c>
      <c r="M10" s="2">
        <v>93112</v>
      </c>
      <c r="N10" s="2">
        <v>127953</v>
      </c>
      <c r="O10" s="2">
        <v>121113</v>
      </c>
      <c r="P10" s="2">
        <v>120596</v>
      </c>
      <c r="Q10" s="2">
        <v>110956</v>
      </c>
      <c r="R10" s="2">
        <v>103813</v>
      </c>
      <c r="S10" s="2">
        <v>97342</v>
      </c>
      <c r="T10" s="2">
        <v>93894</v>
      </c>
      <c r="U10" s="2">
        <v>89483</v>
      </c>
      <c r="V10" s="2">
        <v>68906</v>
      </c>
      <c r="W10" s="2">
        <v>64352</v>
      </c>
      <c r="X10" s="2">
        <v>685021</v>
      </c>
      <c r="Y10" s="2">
        <v>644060</v>
      </c>
      <c r="Z10" s="3"/>
      <c r="AA10" s="20" t="s">
        <v>50</v>
      </c>
      <c r="AB10" s="3">
        <f t="shared" si="0"/>
        <v>0.94967036547827555</v>
      </c>
      <c r="AC10" s="3">
        <f>(VLOOKUP($AA10,$I$8:$Y$1048576,5,FALSE)/VLOOKUP($AA10,$I$8:$Y$1048576,4,FALSE))</f>
        <v>0.95137774889841009</v>
      </c>
      <c r="AD10" s="3">
        <f t="shared" si="2"/>
        <v>0.95897001445648289</v>
      </c>
      <c r="AE10" s="3">
        <f t="shared" si="3"/>
        <v>0.93401102971437977</v>
      </c>
      <c r="AF10" s="3">
        <f t="shared" si="4"/>
        <v>0.95809256187870395</v>
      </c>
      <c r="AG10" s="3">
        <f t="shared" si="5"/>
        <v>0.94563810133395398</v>
      </c>
      <c r="AH10" s="3">
        <f t="shared" si="6"/>
        <v>0.96379871253547444</v>
      </c>
      <c r="AI10" s="3">
        <f t="shared" si="7"/>
        <v>0.93994745159632742</v>
      </c>
      <c r="AL10" s="19" t="s">
        <v>67</v>
      </c>
      <c r="AM10" s="32">
        <v>0.99561403508771928</v>
      </c>
      <c r="AN10" s="32">
        <v>0.99561403508771928</v>
      </c>
      <c r="AO10" s="32">
        <v>0.98905908096280093</v>
      </c>
      <c r="AP10" s="32">
        <v>0.99785867237687365</v>
      </c>
      <c r="AQ10" s="32">
        <v>0.99124726477024072</v>
      </c>
      <c r="AR10" s="32">
        <v>0.99561403508771928</v>
      </c>
      <c r="AS10" s="32">
        <v>0.99560439560439562</v>
      </c>
      <c r="AT10" s="32">
        <v>0.99437307413963827</v>
      </c>
      <c r="AU10" s="32">
        <v>0.99785867237687365</v>
      </c>
      <c r="AV10" s="32">
        <v>0.98951781970649899</v>
      </c>
      <c r="AW10" s="32">
        <v>0.99785867237687365</v>
      </c>
      <c r="AX10" s="32">
        <v>0.98951781970649899</v>
      </c>
      <c r="AY10" s="32">
        <v>0.99363057324840764</v>
      </c>
      <c r="AZ10" s="32">
        <v>0.98315789473684212</v>
      </c>
      <c r="BA10" s="32">
        <v>0.96645702306079662</v>
      </c>
      <c r="BB10" s="32">
        <v>0.98828549645897035</v>
      </c>
      <c r="BC10" s="32">
        <v>0.98684210526315785</v>
      </c>
      <c r="BD10" s="32">
        <v>0.9854469854469855</v>
      </c>
      <c r="BE10" s="32">
        <v>0.97251585623678649</v>
      </c>
      <c r="BF10" s="32">
        <v>0.99161425576519913</v>
      </c>
      <c r="BG10" s="32">
        <v>0.98910675381263613</v>
      </c>
      <c r="BH10" s="32">
        <v>0.98076923076923073</v>
      </c>
      <c r="BI10" s="32">
        <v>0.98471615720524019</v>
      </c>
      <c r="BJ10" s="32">
        <v>0.98443019207131954</v>
      </c>
      <c r="BK10" s="32">
        <v>0.98064516129032253</v>
      </c>
      <c r="BL10" s="32">
        <v>0.97473684210526312</v>
      </c>
      <c r="BM10" s="32">
        <v>0.989247311827957</v>
      </c>
      <c r="BN10" s="32">
        <v>0.98101265822784811</v>
      </c>
      <c r="BO10" s="32">
        <v>0.98491379310344829</v>
      </c>
      <c r="BP10" s="32">
        <v>0.91921397379912662</v>
      </c>
      <c r="BQ10" s="32">
        <v>0.94335511982570808</v>
      </c>
      <c r="BR10" s="32">
        <v>0.9675892657399533</v>
      </c>
      <c r="BS10" s="32">
        <v>0.98750000000000004</v>
      </c>
      <c r="BT10" s="32">
        <v>0.99368421052631584</v>
      </c>
      <c r="BU10" s="32">
        <v>0.98559670781893005</v>
      </c>
      <c r="BV10" s="32">
        <v>0.99381443298969074</v>
      </c>
      <c r="BW10" s="32">
        <v>0.98762886597938149</v>
      </c>
      <c r="BX10" s="32">
        <v>0.98109243697478987</v>
      </c>
      <c r="BY10" s="32">
        <v>0.99583333333333335</v>
      </c>
      <c r="BZ10" s="32">
        <v>0.98930714108892015</v>
      </c>
      <c r="CA10" s="32">
        <v>0.99581589958159</v>
      </c>
      <c r="CB10" s="32">
        <v>0.99584199584199584</v>
      </c>
      <c r="CC10" s="32">
        <v>0.99161425576519913</v>
      </c>
      <c r="CD10" s="32">
        <v>0.9878296146044625</v>
      </c>
      <c r="CE10" s="32">
        <v>0.98360655737704916</v>
      </c>
      <c r="CF10" s="32">
        <v>0.99391480730223125</v>
      </c>
      <c r="CG10" s="32">
        <v>0.98181818181818181</v>
      </c>
      <c r="CH10" s="32">
        <v>0.99006304461295869</v>
      </c>
      <c r="CI10" s="32">
        <v>0.95528455284552849</v>
      </c>
      <c r="CJ10" s="32">
        <v>0.99797979797979797</v>
      </c>
      <c r="CK10" s="32">
        <v>0.95092024539877296</v>
      </c>
      <c r="CL10" s="32">
        <v>0.98969072164948457</v>
      </c>
      <c r="CM10" s="32">
        <v>0.9919028340080972</v>
      </c>
      <c r="CN10" s="32">
        <v>0.98979591836734693</v>
      </c>
      <c r="CO10" s="32">
        <v>0.99195171026156936</v>
      </c>
      <c r="CP10" s="32">
        <v>0.98107511150151383</v>
      </c>
      <c r="CQ10" s="32">
        <v>0.98734177215189878</v>
      </c>
      <c r="CR10" s="32">
        <v>1</v>
      </c>
      <c r="CS10" s="32">
        <v>0.98113207547169812</v>
      </c>
      <c r="CT10" s="32">
        <v>0.99005964214711728</v>
      </c>
      <c r="CU10" s="32">
        <v>0.98951781970649899</v>
      </c>
      <c r="CV10" s="32">
        <v>0.99792099792099798</v>
      </c>
      <c r="CW10" s="32">
        <v>0.98947368421052628</v>
      </c>
      <c r="CX10" s="32">
        <v>0.99077799880124828</v>
      </c>
      <c r="CY10" s="32">
        <v>0.98585858585858588</v>
      </c>
      <c r="CZ10" s="32">
        <v>0.98189134808853118</v>
      </c>
      <c r="DA10" s="32">
        <v>0.99397590361445787</v>
      </c>
      <c r="DB10" s="32">
        <v>0.98594377510040165</v>
      </c>
      <c r="DC10" s="32">
        <v>0.99594320486815413</v>
      </c>
      <c r="DD10" s="32">
        <v>0.97782258064516125</v>
      </c>
      <c r="DE10" s="32">
        <v>0.98159509202453987</v>
      </c>
      <c r="DF10" s="32">
        <v>0.98614721288569018</v>
      </c>
      <c r="DG10" s="32">
        <v>0.99156118143459915</v>
      </c>
      <c r="DH10" s="32">
        <v>0.98170731707317072</v>
      </c>
      <c r="DI10" s="32">
        <v>0.9874476987447699</v>
      </c>
      <c r="DJ10" s="32">
        <v>0.9895397489539749</v>
      </c>
      <c r="DK10" s="32">
        <v>0.98945147679324896</v>
      </c>
      <c r="DL10" s="32">
        <v>0.96728016359918201</v>
      </c>
      <c r="DM10" s="32">
        <v>0.98949579831932777</v>
      </c>
      <c r="DN10" s="32">
        <v>0.98521191213118187</v>
      </c>
      <c r="DO10" s="32">
        <v>0.98072805139186292</v>
      </c>
      <c r="DP10" s="32">
        <v>0.98947368421052628</v>
      </c>
      <c r="DQ10" s="32">
        <v>0.98523206751054848</v>
      </c>
      <c r="DR10" s="32">
        <v>1</v>
      </c>
      <c r="DS10" s="32">
        <v>0.98717948717948723</v>
      </c>
      <c r="DT10" s="32">
        <v>0.9831223628691983</v>
      </c>
      <c r="DU10" s="32">
        <v>0.99363057324840764</v>
      </c>
      <c r="DV10" s="32">
        <v>0.98848088948714719</v>
      </c>
      <c r="DW10" s="32">
        <v>0.95991561181434604</v>
      </c>
      <c r="DX10" s="32">
        <v>0.9979123173277662</v>
      </c>
      <c r="DY10" s="32">
        <v>0.96842105263157896</v>
      </c>
      <c r="DZ10" s="32">
        <v>0.97983870967741937</v>
      </c>
      <c r="EA10" s="32">
        <v>0.96631578947368424</v>
      </c>
      <c r="EB10" s="32">
        <v>0.96932515337423308</v>
      </c>
      <c r="EC10" s="32">
        <v>0.98109243697478987</v>
      </c>
      <c r="ED10" s="32">
        <v>0.97468872446768828</v>
      </c>
      <c r="EE10" s="32">
        <v>0.98072805139186292</v>
      </c>
      <c r="EF10" s="32">
        <v>0.971830985915493</v>
      </c>
      <c r="EG10" s="32">
        <v>0.99150743099787686</v>
      </c>
      <c r="EH10" s="32">
        <v>0.99367088607594933</v>
      </c>
      <c r="EI10" s="32">
        <v>0.97424892703862664</v>
      </c>
      <c r="EJ10" s="32">
        <v>0.97736625514403297</v>
      </c>
      <c r="EK10" s="32">
        <v>0.9874476987447699</v>
      </c>
      <c r="EL10" s="32">
        <v>0.98240003361551587</v>
      </c>
    </row>
    <row r="11" spans="2:142" x14ac:dyDescent="0.25">
      <c r="B11" s="19" t="s">
        <v>368</v>
      </c>
      <c r="C11" s="2">
        <v>688923</v>
      </c>
      <c r="D11" s="2">
        <v>655213</v>
      </c>
      <c r="E11" s="3"/>
      <c r="F11" s="3">
        <f t="shared" si="8"/>
        <v>0.95106855192815454</v>
      </c>
      <c r="G11" s="3"/>
      <c r="H11" s="3"/>
      <c r="I11" s="19" t="s">
        <v>55</v>
      </c>
      <c r="J11" s="2">
        <v>71528</v>
      </c>
      <c r="K11" s="2">
        <v>68056</v>
      </c>
      <c r="L11" s="2">
        <v>97849</v>
      </c>
      <c r="M11" s="2">
        <v>92447</v>
      </c>
      <c r="N11" s="2">
        <v>128273</v>
      </c>
      <c r="O11" s="2">
        <v>120737</v>
      </c>
      <c r="P11" s="2">
        <v>120557</v>
      </c>
      <c r="Q11" s="2">
        <v>109829</v>
      </c>
      <c r="R11" s="2">
        <v>103771</v>
      </c>
      <c r="S11" s="2">
        <v>96947</v>
      </c>
      <c r="T11" s="2">
        <v>93748</v>
      </c>
      <c r="U11" s="2">
        <v>89292</v>
      </c>
      <c r="V11" s="2">
        <v>68806</v>
      </c>
      <c r="W11" s="2">
        <v>64288</v>
      </c>
      <c r="X11" s="2">
        <v>684532</v>
      </c>
      <c r="Y11" s="2">
        <v>641596</v>
      </c>
      <c r="Z11" s="3"/>
      <c r="AA11" s="20" t="s">
        <v>51</v>
      </c>
      <c r="AB11" s="3">
        <f t="shared" si="0"/>
        <v>0.94301021970171883</v>
      </c>
      <c r="AC11" s="3">
        <f t="shared" si="1"/>
        <v>0.94732985998046237</v>
      </c>
      <c r="AD11" s="3">
        <f t="shared" si="2"/>
        <v>0.94547513963207441</v>
      </c>
      <c r="AE11" s="3">
        <f t="shared" si="3"/>
        <v>0.92219182158592128</v>
      </c>
      <c r="AF11" s="3">
        <f t="shared" si="4"/>
        <v>0.95445966579014341</v>
      </c>
      <c r="AG11" s="3">
        <f t="shared" si="5"/>
        <v>0.9434506467777648</v>
      </c>
      <c r="AH11" s="3">
        <f t="shared" si="6"/>
        <v>0.95393827729157066</v>
      </c>
      <c r="AI11" s="3">
        <f t="shared" si="7"/>
        <v>0.94191018902011281</v>
      </c>
      <c r="AL11" s="19" t="s">
        <v>68</v>
      </c>
      <c r="AM11" s="32">
        <v>0.97408207343412523</v>
      </c>
      <c r="AN11" s="32">
        <v>0.99568034557235419</v>
      </c>
      <c r="AO11" s="32">
        <v>0.97948164146868255</v>
      </c>
      <c r="AP11" s="32">
        <v>1</v>
      </c>
      <c r="AQ11" s="32">
        <v>0.97516198704103674</v>
      </c>
      <c r="AR11" s="32">
        <v>0.98164146868250535</v>
      </c>
      <c r="AS11" s="32">
        <v>0.97624190064794814</v>
      </c>
      <c r="AT11" s="32">
        <v>0.9831842024066646</v>
      </c>
      <c r="AU11" s="32">
        <v>0.98920086393088558</v>
      </c>
      <c r="AV11" s="32">
        <v>0.99244060475161988</v>
      </c>
      <c r="AW11" s="32">
        <v>0.97408207343412523</v>
      </c>
      <c r="AX11" s="32">
        <v>0.98596112311015116</v>
      </c>
      <c r="AY11" s="32">
        <v>0.99568034557235419</v>
      </c>
      <c r="AZ11" s="32">
        <v>0.99784017278617709</v>
      </c>
      <c r="BA11" s="32">
        <v>0.98704103671706267</v>
      </c>
      <c r="BB11" s="32">
        <v>0.98889231718605364</v>
      </c>
      <c r="BC11" s="32">
        <v>0.97948164146868255</v>
      </c>
      <c r="BD11" s="32">
        <v>0.99568034557235419</v>
      </c>
      <c r="BE11" s="32">
        <v>0.96328293736501081</v>
      </c>
      <c r="BF11" s="32">
        <v>0.98164146868250535</v>
      </c>
      <c r="BG11" s="32">
        <v>0.98812095032397407</v>
      </c>
      <c r="BH11" s="32">
        <v>0.98380129589632825</v>
      </c>
      <c r="BI11" s="32">
        <v>0.99352051835853128</v>
      </c>
      <c r="BJ11" s="32">
        <v>0.98364702252391223</v>
      </c>
      <c r="BK11" s="32">
        <v>0.95788336933045359</v>
      </c>
      <c r="BL11" s="32">
        <v>0.98272138228941686</v>
      </c>
      <c r="BM11" s="32">
        <v>0.90388768898488125</v>
      </c>
      <c r="BN11" s="32">
        <v>1</v>
      </c>
      <c r="BO11" s="32">
        <v>0.93952483801295894</v>
      </c>
      <c r="BP11" s="32">
        <v>0.86933045356371486</v>
      </c>
      <c r="BQ11" s="32">
        <v>0.91576673866090708</v>
      </c>
      <c r="BR11" s="32">
        <v>0.93844492440604754</v>
      </c>
      <c r="BS11" s="32">
        <v>0.97948164146868255</v>
      </c>
      <c r="BT11" s="32">
        <v>0.99352051835853128</v>
      </c>
      <c r="BU11" s="32">
        <v>0.98704103671706267</v>
      </c>
      <c r="BV11" s="32">
        <v>0.99568034557235419</v>
      </c>
      <c r="BW11" s="32">
        <v>0.98920086393088558</v>
      </c>
      <c r="BX11" s="32">
        <v>0.97624190064794814</v>
      </c>
      <c r="BY11" s="32">
        <v>0.98812095032397407</v>
      </c>
      <c r="BZ11" s="32">
        <v>0.98704103671706267</v>
      </c>
      <c r="CA11" s="32">
        <v>0.97903563941299787</v>
      </c>
      <c r="CB11" s="32">
        <v>0.99784017278617709</v>
      </c>
      <c r="CC11" s="32">
        <v>0.97903563941299787</v>
      </c>
      <c r="CD11" s="32">
        <v>0.98846960167714881</v>
      </c>
      <c r="CE11" s="32">
        <v>0.98113207547169812</v>
      </c>
      <c r="CF11" s="32">
        <v>0.95073375262054505</v>
      </c>
      <c r="CG11" s="32">
        <v>0.98637316561844868</v>
      </c>
      <c r="CH11" s="32">
        <v>0.98037429242857332</v>
      </c>
      <c r="CI11" s="32">
        <v>0.96960167714884693</v>
      </c>
      <c r="CJ11" s="32">
        <v>0.99580712788259962</v>
      </c>
      <c r="CK11" s="32">
        <v>0.95911949685534592</v>
      </c>
      <c r="CL11" s="32">
        <v>0.97903563941299787</v>
      </c>
      <c r="CM11" s="32">
        <v>0.98637316561844868</v>
      </c>
      <c r="CN11" s="32">
        <v>0.98113207547169812</v>
      </c>
      <c r="CO11" s="32">
        <v>0.98218029350104818</v>
      </c>
      <c r="CP11" s="32">
        <v>0.97903563941299776</v>
      </c>
      <c r="CQ11" s="32">
        <v>0.94863731656184491</v>
      </c>
      <c r="CR11" s="32">
        <v>0.9926624737945493</v>
      </c>
      <c r="CS11" s="32">
        <v>0.95911949685534592</v>
      </c>
      <c r="CT11" s="32">
        <v>0.9779874213836478</v>
      </c>
      <c r="CU11" s="32">
        <v>0.96645702306079662</v>
      </c>
      <c r="CV11" s="32">
        <v>0.9926624737945493</v>
      </c>
      <c r="CW11" s="32">
        <v>0.98742138364779874</v>
      </c>
      <c r="CX11" s="32">
        <v>0.97499251272836174</v>
      </c>
      <c r="CY11" s="32">
        <v>0.96436058700209648</v>
      </c>
      <c r="CZ11" s="32">
        <v>0.98218029350104818</v>
      </c>
      <c r="DA11" s="32">
        <v>0.97379454926624742</v>
      </c>
      <c r="DB11" s="32">
        <v>0.97064989517819711</v>
      </c>
      <c r="DC11" s="32">
        <v>0.96436058700209648</v>
      </c>
      <c r="DD11" s="32">
        <v>0.96436058700209648</v>
      </c>
      <c r="DE11" s="32">
        <v>0.96960167714884693</v>
      </c>
      <c r="DF11" s="32">
        <v>0.96990116801437565</v>
      </c>
      <c r="DG11" s="32">
        <v>0.92767295597484278</v>
      </c>
      <c r="DH11" s="32">
        <v>0.96540880503144655</v>
      </c>
      <c r="DI11" s="32">
        <v>0.93710691823899372</v>
      </c>
      <c r="DJ11" s="32">
        <v>0.9308176100628931</v>
      </c>
      <c r="DK11" s="32">
        <v>0.95597484276729561</v>
      </c>
      <c r="DL11" s="32">
        <v>0.95283018867924529</v>
      </c>
      <c r="DM11" s="32">
        <v>0.95178197064989523</v>
      </c>
      <c r="DN11" s="32">
        <v>0.94594189877208734</v>
      </c>
      <c r="DO11" s="32">
        <v>0.94129979035639411</v>
      </c>
      <c r="DP11" s="32">
        <v>0.96645702306079662</v>
      </c>
      <c r="DQ11" s="32">
        <v>0.94339622641509435</v>
      </c>
      <c r="DR11" s="32">
        <v>0.96750524109014679</v>
      </c>
      <c r="DS11" s="32">
        <v>0.94234800838574428</v>
      </c>
      <c r="DT11" s="32">
        <v>0.95911949685534592</v>
      </c>
      <c r="DU11" s="32">
        <v>0.95492662473794554</v>
      </c>
      <c r="DV11" s="32">
        <v>0.95357891584306675</v>
      </c>
      <c r="DW11" s="32">
        <v>0.93396226415094341</v>
      </c>
      <c r="DX11" s="32">
        <v>0.96540880503144655</v>
      </c>
      <c r="DY11" s="32">
        <v>0.91194968553459121</v>
      </c>
      <c r="DZ11" s="32">
        <v>0.96540880503144655</v>
      </c>
      <c r="EA11" s="32">
        <v>0.93396226415094341</v>
      </c>
      <c r="EB11" s="32">
        <v>0.95387840670859536</v>
      </c>
      <c r="EC11" s="32">
        <v>0.94444444444444442</v>
      </c>
      <c r="ED11" s="32">
        <v>0.94414495357891581</v>
      </c>
      <c r="EE11" s="32">
        <v>0.9308176100628931</v>
      </c>
      <c r="EF11" s="32">
        <v>0.96750524109014679</v>
      </c>
      <c r="EG11" s="32">
        <v>0.95807127882599585</v>
      </c>
      <c r="EH11" s="32">
        <v>0.98427672955974843</v>
      </c>
      <c r="EI11" s="32">
        <v>0.95702306079664567</v>
      </c>
      <c r="EJ11" s="32">
        <v>0.96645702306079662</v>
      </c>
      <c r="EK11" s="32">
        <v>0.95911949685534592</v>
      </c>
      <c r="EL11" s="32">
        <v>0.9604672057502246</v>
      </c>
    </row>
    <row r="12" spans="2:142" x14ac:dyDescent="0.25">
      <c r="B12" s="19" t="s">
        <v>377</v>
      </c>
      <c r="C12" s="2">
        <v>687428</v>
      </c>
      <c r="D12" s="2">
        <v>652830</v>
      </c>
      <c r="E12" s="3"/>
      <c r="F12" s="3">
        <f>D12/C12</f>
        <v>0.94967036547827555</v>
      </c>
      <c r="G12" s="3"/>
      <c r="H12" s="3"/>
      <c r="I12" s="19" t="s">
        <v>56</v>
      </c>
      <c r="J12" s="2">
        <v>71688</v>
      </c>
      <c r="K12" s="2">
        <v>68350</v>
      </c>
      <c r="L12" s="2">
        <v>95661</v>
      </c>
      <c r="M12" s="2">
        <v>90431</v>
      </c>
      <c r="N12" s="2">
        <v>128360</v>
      </c>
      <c r="O12" s="2">
        <v>121411</v>
      </c>
      <c r="P12" s="2">
        <v>120321</v>
      </c>
      <c r="Q12" s="2">
        <v>110132</v>
      </c>
      <c r="R12" s="2">
        <v>103754</v>
      </c>
      <c r="S12" s="2">
        <v>96720</v>
      </c>
      <c r="T12" s="2">
        <v>93975</v>
      </c>
      <c r="U12" s="2">
        <v>89715</v>
      </c>
      <c r="V12" s="2">
        <v>69118</v>
      </c>
      <c r="W12" s="2">
        <v>64779</v>
      </c>
      <c r="X12" s="2">
        <v>682877</v>
      </c>
      <c r="Y12" s="2">
        <v>641538</v>
      </c>
      <c r="Z12" s="3"/>
      <c r="AA12" s="20" t="s">
        <v>52</v>
      </c>
      <c r="AB12" s="3">
        <f t="shared" si="0"/>
        <v>0.94817681844545032</v>
      </c>
      <c r="AC12" s="3">
        <f t="shared" si="1"/>
        <v>0.95152739976439049</v>
      </c>
      <c r="AD12" s="3">
        <f t="shared" si="2"/>
        <v>0.95405294414960828</v>
      </c>
      <c r="AE12" s="3">
        <f t="shared" si="3"/>
        <v>0.92985761624976238</v>
      </c>
      <c r="AF12" s="3">
        <f t="shared" si="4"/>
        <v>0.96154333636113987</v>
      </c>
      <c r="AG12" s="3">
        <f t="shared" si="5"/>
        <v>0.95132135993873634</v>
      </c>
      <c r="AH12" s="3">
        <f t="shared" si="6"/>
        <v>0.94775578477836631</v>
      </c>
      <c r="AI12" s="3">
        <f t="shared" si="7"/>
        <v>0.94520901921751777</v>
      </c>
      <c r="AL12" s="19" t="s">
        <v>69</v>
      </c>
      <c r="AM12" s="32">
        <v>0.94292237442922378</v>
      </c>
      <c r="AN12" s="32">
        <v>0.99109131403118045</v>
      </c>
      <c r="AO12" s="32">
        <v>0.96825396825396826</v>
      </c>
      <c r="AP12" s="32">
        <v>0.97528089887640446</v>
      </c>
      <c r="AQ12" s="32">
        <v>0.97104677060133626</v>
      </c>
      <c r="AR12" s="32">
        <v>0.95927601809954754</v>
      </c>
      <c r="AS12" s="32">
        <v>0.963963963963964</v>
      </c>
      <c r="AT12" s="32">
        <v>0.96740504403651784</v>
      </c>
      <c r="AU12" s="32">
        <v>0.88551401869158874</v>
      </c>
      <c r="AV12" s="32">
        <v>0.96895787139689582</v>
      </c>
      <c r="AW12" s="32">
        <v>0.89534883720930236</v>
      </c>
      <c r="AX12" s="32">
        <v>0.99321266968325794</v>
      </c>
      <c r="AY12" s="32">
        <v>0.94570135746606332</v>
      </c>
      <c r="AZ12" s="32">
        <v>0.9572072072072072</v>
      </c>
      <c r="BA12" s="32">
        <v>0.95444191343963558</v>
      </c>
      <c r="BB12" s="32">
        <v>0.94291198215627869</v>
      </c>
      <c r="BC12" s="32">
        <v>0.96100917431192656</v>
      </c>
      <c r="BD12" s="32">
        <v>0.97303370786516852</v>
      </c>
      <c r="BE12" s="32">
        <v>0.98416289592760176</v>
      </c>
      <c r="BF12" s="32">
        <v>0.98412698412698407</v>
      </c>
      <c r="BG12" s="32">
        <v>0.98198198198198194</v>
      </c>
      <c r="BH12" s="32">
        <v>0.97052154195011342</v>
      </c>
      <c r="BI12" s="32">
        <v>0.95022624434389136</v>
      </c>
      <c r="BJ12" s="32">
        <v>0.97215179007252395</v>
      </c>
      <c r="BK12" s="32">
        <v>0.96445497630331756</v>
      </c>
      <c r="BL12" s="32">
        <v>0.95412844036697253</v>
      </c>
      <c r="BM12" s="32">
        <v>0.97241379310344822</v>
      </c>
      <c r="BN12" s="32">
        <v>0.97327394209354123</v>
      </c>
      <c r="BO12" s="32">
        <v>0.96144578313253015</v>
      </c>
      <c r="BP12" s="32">
        <v>0.82994923857868019</v>
      </c>
      <c r="BQ12" s="32">
        <v>0.91494845360824739</v>
      </c>
      <c r="BR12" s="32">
        <v>0.93865923245524818</v>
      </c>
      <c r="BS12" s="32">
        <v>0.96498905908096277</v>
      </c>
      <c r="BT12" s="32">
        <v>0.98687089715536103</v>
      </c>
      <c r="BU12" s="32">
        <v>0.96061269146608319</v>
      </c>
      <c r="BV12" s="32">
        <v>0.98922413793103448</v>
      </c>
      <c r="BW12" s="32">
        <v>1</v>
      </c>
      <c r="BX12" s="32">
        <v>0.96659242761692654</v>
      </c>
      <c r="BY12" s="32">
        <v>0.97368421052631582</v>
      </c>
      <c r="BZ12" s="32">
        <v>0.97742477482524048</v>
      </c>
      <c r="CA12" s="32">
        <v>0.91422121896162534</v>
      </c>
      <c r="CB12" s="32">
        <v>0.99356223175965663</v>
      </c>
      <c r="CC12" s="32">
        <v>0.94557823129251706</v>
      </c>
      <c r="CD12" s="32">
        <v>0.98454746136865345</v>
      </c>
      <c r="CE12" s="32">
        <v>0.98249452954048144</v>
      </c>
      <c r="CF12" s="32">
        <v>0.99568965517241381</v>
      </c>
      <c r="CG12" s="32">
        <v>0.97811816192560175</v>
      </c>
      <c r="CH12" s="32">
        <v>0.97060164143156424</v>
      </c>
      <c r="CI12" s="32">
        <v>0.91855203619909498</v>
      </c>
      <c r="CJ12" s="32">
        <v>0.98681318681318686</v>
      </c>
      <c r="CK12" s="32">
        <v>0.93835616438356162</v>
      </c>
      <c r="CL12" s="32">
        <v>0.96644295302013428</v>
      </c>
      <c r="CM12" s="32">
        <v>0.94170403587443952</v>
      </c>
      <c r="CN12" s="32">
        <v>0.99116997792494477</v>
      </c>
      <c r="CO12" s="32">
        <v>0.9419642857142857</v>
      </c>
      <c r="CP12" s="32">
        <v>0.95500037713280683</v>
      </c>
      <c r="CQ12" s="32">
        <v>0.8995215311004785</v>
      </c>
      <c r="CR12" s="32">
        <v>0.95796460176991149</v>
      </c>
      <c r="CS12" s="32">
        <v>0.91314553990610325</v>
      </c>
      <c r="CT12" s="32">
        <v>0.94847775175644033</v>
      </c>
      <c r="CU12" s="32">
        <v>0.93525179856115104</v>
      </c>
      <c r="CV12" s="32">
        <v>0.91264367816091951</v>
      </c>
      <c r="CW12" s="32">
        <v>0.95890410958904104</v>
      </c>
      <c r="CX12" s="32">
        <v>0.9322727158348636</v>
      </c>
      <c r="CY12" s="32">
        <v>0.96567505720823799</v>
      </c>
      <c r="CZ12" s="32">
        <v>0.96313364055299544</v>
      </c>
      <c r="DA12" s="32">
        <v>0.93707865168539328</v>
      </c>
      <c r="DB12" s="32">
        <v>0.98202247191011238</v>
      </c>
      <c r="DC12" s="32">
        <v>1</v>
      </c>
      <c r="DD12" s="32">
        <v>0.98858447488584478</v>
      </c>
      <c r="DE12" s="32">
        <v>1</v>
      </c>
      <c r="DF12" s="32">
        <v>0.97664204232036922</v>
      </c>
      <c r="DG12" s="32" t="e">
        <v>#NUM!</v>
      </c>
      <c r="DH12" s="32">
        <v>0.9887892376681614</v>
      </c>
      <c r="DI12" s="32">
        <v>0.90993071593533492</v>
      </c>
      <c r="DJ12" s="32">
        <v>0.94279176201372994</v>
      </c>
      <c r="DK12" s="32">
        <v>0.91383219954648531</v>
      </c>
      <c r="DL12" s="32">
        <v>0.94877505567928733</v>
      </c>
      <c r="DM12" s="32">
        <v>0.93849658314350792</v>
      </c>
      <c r="DN12" s="32" t="e">
        <v>#NUM!</v>
      </c>
      <c r="DO12" s="32">
        <v>0.91725768321513002</v>
      </c>
      <c r="DP12" s="32">
        <v>0.99541284403669728</v>
      </c>
      <c r="DQ12" s="32">
        <v>0.92434988179669031</v>
      </c>
      <c r="DR12" s="32">
        <v>0.97215777262180969</v>
      </c>
      <c r="DS12" s="32">
        <v>0.94266055045871555</v>
      </c>
      <c r="DT12" s="32">
        <v>0.95402298850574707</v>
      </c>
      <c r="DU12" s="32">
        <v>0.97011494252873565</v>
      </c>
      <c r="DV12" s="32">
        <v>0.95371095188050359</v>
      </c>
      <c r="DW12" s="32">
        <v>0.90407673860911275</v>
      </c>
      <c r="DX12" s="32">
        <v>0.94954128440366969</v>
      </c>
      <c r="DY12" s="32">
        <v>0.93462469733656173</v>
      </c>
      <c r="DZ12" s="32">
        <v>0.95833333333333337</v>
      </c>
      <c r="EA12" s="32">
        <v>0.91415313225058004</v>
      </c>
      <c r="EB12" s="32">
        <v>0.96796338672768878</v>
      </c>
      <c r="EC12" s="32">
        <v>0.99771689497716898</v>
      </c>
      <c r="ED12" s="32">
        <v>0.94662992394830237</v>
      </c>
      <c r="EE12" s="32">
        <v>0.87749999999999995</v>
      </c>
      <c r="EF12" s="32">
        <v>0.92362768496420045</v>
      </c>
      <c r="EG12" s="32">
        <v>0.86683417085427139</v>
      </c>
      <c r="EH12" s="32">
        <v>0.95599022004889977</v>
      </c>
      <c r="EI12" s="32">
        <v>0.92214111922141118</v>
      </c>
      <c r="EJ12" s="32">
        <v>0.94951923076923073</v>
      </c>
      <c r="EK12" s="32">
        <v>0.92137592137592139</v>
      </c>
      <c r="EL12" s="32">
        <v>0.91671262103341922</v>
      </c>
    </row>
    <row r="13" spans="2:142" x14ac:dyDescent="0.25">
      <c r="B13" s="19" t="s">
        <v>386</v>
      </c>
      <c r="C13" s="2">
        <v>685930</v>
      </c>
      <c r="D13" s="2">
        <v>646839</v>
      </c>
      <c r="E13" s="3"/>
      <c r="F13" s="3">
        <f t="shared" si="8"/>
        <v>0.94301021970171883</v>
      </c>
      <c r="G13" s="3"/>
      <c r="H13" s="3"/>
      <c r="I13" s="19" t="s">
        <v>45</v>
      </c>
      <c r="J13" s="2">
        <v>69730</v>
      </c>
      <c r="K13" s="2">
        <v>67133</v>
      </c>
      <c r="L13" s="2">
        <v>97206</v>
      </c>
      <c r="M13" s="2">
        <v>91989</v>
      </c>
      <c r="N13" s="2">
        <v>126991</v>
      </c>
      <c r="O13" s="2">
        <v>121308</v>
      </c>
      <c r="P13" s="2">
        <v>120544</v>
      </c>
      <c r="Q13" s="2">
        <v>112388</v>
      </c>
      <c r="R13" s="2">
        <v>103375</v>
      </c>
      <c r="S13" s="2">
        <v>97962</v>
      </c>
      <c r="T13" s="2">
        <v>94009</v>
      </c>
      <c r="U13" s="2">
        <v>90265</v>
      </c>
      <c r="V13" s="2">
        <v>67619</v>
      </c>
      <c r="W13" s="2">
        <v>63985</v>
      </c>
      <c r="X13" s="2">
        <v>679474</v>
      </c>
      <c r="Y13" s="2">
        <v>645030</v>
      </c>
      <c r="Z13" s="3"/>
      <c r="AA13" s="20" t="s">
        <v>53</v>
      </c>
      <c r="AB13" s="3">
        <f t="shared" si="0"/>
        <v>0.94163650776734609</v>
      </c>
      <c r="AC13" s="3">
        <f t="shared" si="1"/>
        <v>0.94637772534982101</v>
      </c>
      <c r="AD13" s="3">
        <f>(VLOOKUP($AA13,$I$8:$Y$1048576,7,FALSE)/VLOOKUP($AA13,$I$8:$Y$1048576,6,FALSE))</f>
        <v>0.95154085250613063</v>
      </c>
      <c r="AE13" s="3">
        <f t="shared" si="3"/>
        <v>0.91866764153608405</v>
      </c>
      <c r="AF13" s="3">
        <f t="shared" si="4"/>
        <v>0.95748223565595503</v>
      </c>
      <c r="AG13" s="3">
        <f t="shared" si="5"/>
        <v>0.94001072790269502</v>
      </c>
      <c r="AH13" s="3">
        <f t="shared" si="6"/>
        <v>0.95279035741656792</v>
      </c>
      <c r="AI13" s="3">
        <f t="shared" si="7"/>
        <v>0.93047117983896754</v>
      </c>
      <c r="AL13" s="19" t="s">
        <v>70</v>
      </c>
      <c r="AM13" s="32">
        <v>0.97553122987765617</v>
      </c>
      <c r="AN13" s="32">
        <v>0.98151688973868711</v>
      </c>
      <c r="AO13" s="32">
        <v>0.96587250482936249</v>
      </c>
      <c r="AP13" s="32">
        <v>0.96981374438021839</v>
      </c>
      <c r="AQ13" s="32">
        <v>0.97184900831733845</v>
      </c>
      <c r="AR13" s="32">
        <v>0.97827476038338657</v>
      </c>
      <c r="AS13" s="32">
        <v>0.96807151979565775</v>
      </c>
      <c r="AT13" s="32">
        <v>0.9729899510460438</v>
      </c>
      <c r="AU13" s="32">
        <v>0.96439923712650988</v>
      </c>
      <c r="AV13" s="32">
        <v>0.9776785714285714</v>
      </c>
      <c r="AW13" s="32">
        <v>0.97652284263959388</v>
      </c>
      <c r="AX13" s="32">
        <v>0.98024219247928612</v>
      </c>
      <c r="AY13" s="32">
        <v>0.98030495552731889</v>
      </c>
      <c r="AZ13" s="32">
        <v>0.97834394904458599</v>
      </c>
      <c r="BA13" s="32">
        <v>0.97757847533632292</v>
      </c>
      <c r="BB13" s="32">
        <v>0.97643860336888399</v>
      </c>
      <c r="BC13" s="32">
        <v>0.94709677419354843</v>
      </c>
      <c r="BD13" s="32">
        <v>0.98487712665406424</v>
      </c>
      <c r="BE13" s="32">
        <v>0.95250320924261878</v>
      </c>
      <c r="BF13" s="32">
        <v>0.95314505776636715</v>
      </c>
      <c r="BG13" s="32">
        <v>0.96453451551614944</v>
      </c>
      <c r="BH13" s="32">
        <v>0.98044164037854886</v>
      </c>
      <c r="BI13" s="32">
        <v>0.96331435800126497</v>
      </c>
      <c r="BJ13" s="32">
        <v>0.96370181167893743</v>
      </c>
      <c r="BK13" s="32">
        <v>0.90503875968992253</v>
      </c>
      <c r="BL13" s="32">
        <v>0.93248407643312103</v>
      </c>
      <c r="BM13" s="32">
        <v>0.921875</v>
      </c>
      <c r="BN13" s="32">
        <v>0.94610389610389611</v>
      </c>
      <c r="BO13" s="32">
        <v>0.90503875968992253</v>
      </c>
      <c r="BP13" s="32">
        <v>0.89857881136950901</v>
      </c>
      <c r="BQ13" s="32">
        <v>0.88178294573643412</v>
      </c>
      <c r="BR13" s="32">
        <v>0.91298603557468649</v>
      </c>
      <c r="BS13" s="32">
        <v>0.94366197183098588</v>
      </c>
      <c r="BT13" s="32">
        <v>0.95559845559845558</v>
      </c>
      <c r="BU13" s="32">
        <v>0.94128908742820672</v>
      </c>
      <c r="BV13" s="32">
        <v>0.98021697511167838</v>
      </c>
      <c r="BW13" s="32">
        <v>0.92238033635187577</v>
      </c>
      <c r="BX13" s="32">
        <v>0.97948717948717945</v>
      </c>
      <c r="BY13" s="32">
        <v>0.95618556701030932</v>
      </c>
      <c r="BZ13" s="32">
        <v>0.95411708183124144</v>
      </c>
      <c r="CA13" s="32">
        <v>0.96871088861076349</v>
      </c>
      <c r="CB13" s="32">
        <v>0.98468410976387999</v>
      </c>
      <c r="CC13" s="32">
        <v>0.96990595611285269</v>
      </c>
      <c r="CD13" s="32">
        <v>0.96610169491525422</v>
      </c>
      <c r="CE13" s="32">
        <v>0.96475770925110127</v>
      </c>
      <c r="CF13" s="32">
        <v>0.96194635059263878</v>
      </c>
      <c r="CG13" s="32">
        <v>0.96882793017456359</v>
      </c>
      <c r="CH13" s="32">
        <v>0.96927637706015057</v>
      </c>
      <c r="CI13" s="32">
        <v>0.95202492211838008</v>
      </c>
      <c r="CJ13" s="32">
        <v>0.95417451349654736</v>
      </c>
      <c r="CK13" s="32">
        <v>0.97040302267002521</v>
      </c>
      <c r="CL13" s="32">
        <v>0.97869674185463662</v>
      </c>
      <c r="CM13" s="32">
        <v>0.96776232616940583</v>
      </c>
      <c r="CN13" s="32">
        <v>0.98615481434864694</v>
      </c>
      <c r="CO13" s="32">
        <v>0.95514845230574863</v>
      </c>
      <c r="CP13" s="32">
        <v>0.96633782756619868</v>
      </c>
      <c r="CQ13" s="32">
        <v>0.96455696202531649</v>
      </c>
      <c r="CR13" s="32">
        <v>0.95417451349654736</v>
      </c>
      <c r="CS13" s="32">
        <v>0.97067997504678727</v>
      </c>
      <c r="CT13" s="32">
        <v>0.96756082345602001</v>
      </c>
      <c r="CU13" s="32">
        <v>0.97237915881983683</v>
      </c>
      <c r="CV13" s="32">
        <v>0.98615481434864694</v>
      </c>
      <c r="CW13" s="32">
        <v>0.98367859384808543</v>
      </c>
      <c r="CX13" s="32">
        <v>0.97131212014874868</v>
      </c>
      <c r="CY13" s="32">
        <v>0.97784810126582278</v>
      </c>
      <c r="CZ13" s="32">
        <v>0.96967782691092863</v>
      </c>
      <c r="DA13" s="32">
        <v>0.97728706624605677</v>
      </c>
      <c r="DB13" s="32">
        <v>0.98407643312101911</v>
      </c>
      <c r="DC13" s="32">
        <v>0.98547979797979801</v>
      </c>
      <c r="DD13" s="32">
        <v>0.97856242118537196</v>
      </c>
      <c r="DE13" s="32">
        <v>0.97656744775174165</v>
      </c>
      <c r="DF13" s="32">
        <v>0.97849987063724841</v>
      </c>
      <c r="DG13" s="32">
        <v>0.94136191677175285</v>
      </c>
      <c r="DH13" s="32">
        <v>0.97006369426751593</v>
      </c>
      <c r="DI13" s="32">
        <v>0.94010088272383352</v>
      </c>
      <c r="DJ13" s="32">
        <v>0.95657726692209455</v>
      </c>
      <c r="DK13" s="32">
        <v>0.97834394904458599</v>
      </c>
      <c r="DL13" s="32">
        <v>0.97579617834394905</v>
      </c>
      <c r="DM13" s="32">
        <v>0.98216560509554141</v>
      </c>
      <c r="DN13" s="32">
        <v>0.96348707045275339</v>
      </c>
      <c r="DO13" s="32">
        <v>0.94710327455919396</v>
      </c>
      <c r="DP13" s="32">
        <v>0.97197452229299364</v>
      </c>
      <c r="DQ13" s="32">
        <v>0.95843828715365242</v>
      </c>
      <c r="DR13" s="32">
        <v>0.96158690176322414</v>
      </c>
      <c r="DS13" s="32">
        <v>0.96237244897959184</v>
      </c>
      <c r="DT13" s="32">
        <v>0.9553571428571429</v>
      </c>
      <c r="DU13" s="32">
        <v>0.95153061224489799</v>
      </c>
      <c r="DV13" s="32">
        <v>0.95833759855009959</v>
      </c>
      <c r="DW13" s="32">
        <v>0.94136191677175285</v>
      </c>
      <c r="DX13" s="32">
        <v>0.97006369426751593</v>
      </c>
      <c r="DY13" s="32">
        <v>0.94010088272383352</v>
      </c>
      <c r="DZ13" s="32">
        <v>0.95657726692209455</v>
      </c>
      <c r="EA13" s="32">
        <v>0.97834394904458599</v>
      </c>
      <c r="EB13" s="32">
        <v>0.97579617834394905</v>
      </c>
      <c r="EC13" s="32">
        <v>0.98216560509554141</v>
      </c>
      <c r="ED13" s="32">
        <v>0.96348707045275328</v>
      </c>
      <c r="EE13" s="32">
        <v>0.91831525207402676</v>
      </c>
      <c r="EF13" s="32">
        <v>0.9674952198852772</v>
      </c>
      <c r="EG13" s="32">
        <v>0.91895341416719845</v>
      </c>
      <c r="EH13" s="32">
        <v>0.91767708998085518</v>
      </c>
      <c r="EI13" s="32">
        <v>0.9553571428571429</v>
      </c>
      <c r="EJ13" s="32">
        <v>0.97386870618228172</v>
      </c>
      <c r="EK13" s="32">
        <v>0.95411089866156784</v>
      </c>
      <c r="EL13" s="32">
        <v>0.94368253197262142</v>
      </c>
    </row>
    <row r="14" spans="2:142" x14ac:dyDescent="0.25">
      <c r="B14" s="19" t="s">
        <v>395</v>
      </c>
      <c r="C14" s="2">
        <v>686218</v>
      </c>
      <c r="D14" s="2">
        <v>650656</v>
      </c>
      <c r="E14" s="3"/>
      <c r="F14" s="3">
        <f t="shared" si="8"/>
        <v>0.94817681844545032</v>
      </c>
      <c r="G14" s="3"/>
      <c r="H14" s="3"/>
      <c r="I14" s="19" t="s">
        <v>46</v>
      </c>
      <c r="J14" s="2">
        <v>70472</v>
      </c>
      <c r="K14" s="2">
        <v>67152</v>
      </c>
      <c r="L14" s="2">
        <v>97097</v>
      </c>
      <c r="M14" s="2">
        <v>91607</v>
      </c>
      <c r="N14" s="2">
        <v>126841</v>
      </c>
      <c r="O14" s="2">
        <v>120606</v>
      </c>
      <c r="P14" s="2">
        <v>120150</v>
      </c>
      <c r="Q14" s="2">
        <v>110754</v>
      </c>
      <c r="R14" s="2">
        <v>103003</v>
      </c>
      <c r="S14" s="2">
        <v>96284</v>
      </c>
      <c r="T14" s="2">
        <v>93946</v>
      </c>
      <c r="U14" s="2">
        <v>89522</v>
      </c>
      <c r="V14" s="2">
        <v>67616</v>
      </c>
      <c r="W14" s="2">
        <v>63542</v>
      </c>
      <c r="X14" s="2">
        <v>679125</v>
      </c>
      <c r="Y14" s="2">
        <v>639467</v>
      </c>
      <c r="Z14" s="3"/>
      <c r="AA14" s="20" t="s">
        <v>54</v>
      </c>
      <c r="AB14" s="3">
        <f t="shared" si="0"/>
        <v>0.94020475284699301</v>
      </c>
      <c r="AC14" s="3">
        <f t="shared" si="1"/>
        <v>0.94691453443436524</v>
      </c>
      <c r="AD14" s="3">
        <f t="shared" si="2"/>
        <v>0.94654287121052261</v>
      </c>
      <c r="AE14" s="3">
        <f t="shared" si="3"/>
        <v>0.92006368370426883</v>
      </c>
      <c r="AF14" s="3">
        <f t="shared" si="4"/>
        <v>0.95302149232112809</v>
      </c>
      <c r="AG14" s="3">
        <f t="shared" si="5"/>
        <v>0.93390996429919015</v>
      </c>
      <c r="AH14" s="3">
        <f t="shared" si="6"/>
        <v>0.94652369035469119</v>
      </c>
      <c r="AI14" s="3">
        <f t="shared" si="7"/>
        <v>0.93766676620461797</v>
      </c>
      <c r="AL14" s="19" t="s">
        <v>71</v>
      </c>
      <c r="AM14" s="32">
        <v>0.99856115107913668</v>
      </c>
      <c r="AN14" s="32">
        <v>0.9971509971509972</v>
      </c>
      <c r="AO14" s="32">
        <v>1</v>
      </c>
      <c r="AP14" s="32">
        <v>1</v>
      </c>
      <c r="AQ14" s="32">
        <v>0.9985693848354793</v>
      </c>
      <c r="AR14" s="32">
        <v>0.99002849002849003</v>
      </c>
      <c r="AS14" s="32">
        <v>0.99288762446657186</v>
      </c>
      <c r="AT14" s="32">
        <v>0.99674252108009642</v>
      </c>
      <c r="AU14" s="32">
        <v>0.95258620689655171</v>
      </c>
      <c r="AV14" s="32">
        <v>0.99715504978662872</v>
      </c>
      <c r="AW14" s="32" t="e">
        <v>#NUM!</v>
      </c>
      <c r="AX14" s="32" t="e">
        <v>#NUM!</v>
      </c>
      <c r="AY14" s="32">
        <v>0.99146514935988617</v>
      </c>
      <c r="AZ14" s="32">
        <v>0.99717912552891397</v>
      </c>
      <c r="BA14" s="32">
        <v>0.99570815450643779</v>
      </c>
      <c r="BB14" s="32" t="e">
        <v>#NUM!</v>
      </c>
      <c r="BC14" s="32">
        <v>0.99425287356321834</v>
      </c>
      <c r="BD14" s="32" t="e">
        <v>#NUM!</v>
      </c>
      <c r="BE14" s="32">
        <v>0.93965517241379315</v>
      </c>
      <c r="BF14" s="32">
        <v>0.98995695839311337</v>
      </c>
      <c r="BG14" s="32">
        <v>0.93956834532374101</v>
      </c>
      <c r="BH14" s="32">
        <v>0.95035460992907805</v>
      </c>
      <c r="BI14" s="32">
        <v>0.94017094017094016</v>
      </c>
      <c r="BJ14" s="32" t="e">
        <v>#NUM!</v>
      </c>
      <c r="BK14" s="32">
        <v>0.9388335704125178</v>
      </c>
      <c r="BL14" s="32">
        <v>0.98995695839311337</v>
      </c>
      <c r="BM14" s="32">
        <v>0.75172413793103443</v>
      </c>
      <c r="BN14" s="32">
        <v>0.81241184767277852</v>
      </c>
      <c r="BO14" s="32">
        <v>0.87026239067055389</v>
      </c>
      <c r="BP14" s="32">
        <v>0.92949640287769786</v>
      </c>
      <c r="BQ14" s="32">
        <v>0.72594752186588918</v>
      </c>
      <c r="BR14" s="32">
        <v>0.85980468997479775</v>
      </c>
      <c r="BS14" s="32">
        <v>0.98435277382645803</v>
      </c>
      <c r="BT14" s="32">
        <v>0.83074753173483784</v>
      </c>
      <c r="BU14" s="32">
        <v>1</v>
      </c>
      <c r="BV14" s="32">
        <v>0.99573257467994314</v>
      </c>
      <c r="BW14" s="32">
        <v>0.93511988716502115</v>
      </c>
      <c r="BX14" s="32">
        <v>0.98552821997105644</v>
      </c>
      <c r="BY14" s="32">
        <v>0.97126436781609193</v>
      </c>
      <c r="BZ14" s="32">
        <v>0.95753505074191558</v>
      </c>
      <c r="CA14" s="32">
        <v>0.99431818181818177</v>
      </c>
      <c r="CB14" s="32">
        <v>0.97645429362880887</v>
      </c>
      <c r="CC14" s="32">
        <v>0.99433427762039661</v>
      </c>
      <c r="CD14" s="32">
        <v>0.97432239657631958</v>
      </c>
      <c r="CE14" s="32">
        <v>0.98025387870239777</v>
      </c>
      <c r="CF14" s="32">
        <v>0.98448519040902682</v>
      </c>
      <c r="CG14" s="32">
        <v>0.99435825105782794</v>
      </c>
      <c r="CH14" s="32">
        <v>0.98550378140185124</v>
      </c>
      <c r="CI14" s="32">
        <v>0.9900142653352354</v>
      </c>
      <c r="CJ14" s="32">
        <v>0.97988505747126442</v>
      </c>
      <c r="CK14" s="32">
        <v>0.99575671852899572</v>
      </c>
      <c r="CL14" s="32">
        <v>0.98550724637681164</v>
      </c>
      <c r="CM14" s="32">
        <v>0.9900142653352354</v>
      </c>
      <c r="CN14" s="32">
        <v>0.97717546362339514</v>
      </c>
      <c r="CO14" s="32">
        <v>0.98430813124108418</v>
      </c>
      <c r="CP14" s="32">
        <v>0.98609444970171733</v>
      </c>
      <c r="CQ14" s="32">
        <v>0.95447870778267252</v>
      </c>
      <c r="CR14" s="32">
        <v>0.99424460431654671</v>
      </c>
      <c r="CS14" s="32">
        <v>0.96622613803230539</v>
      </c>
      <c r="CT14" s="32">
        <v>0.95447870778267252</v>
      </c>
      <c r="CU14" s="32">
        <v>0.96681096681096679</v>
      </c>
      <c r="CV14" s="32">
        <v>0.95809248554913296</v>
      </c>
      <c r="CW14" s="32">
        <v>0.95942028985507244</v>
      </c>
      <c r="CX14" s="32">
        <v>0.96482170001848133</v>
      </c>
      <c r="CY14" s="32">
        <v>0.99127906976744184</v>
      </c>
      <c r="CZ14" s="32">
        <v>0.98107714701601167</v>
      </c>
      <c r="DA14" s="32">
        <v>0.98838896952104505</v>
      </c>
      <c r="DB14" s="32">
        <v>0.96220930232558144</v>
      </c>
      <c r="DC14" s="32">
        <v>1</v>
      </c>
      <c r="DD14" s="32">
        <v>1</v>
      </c>
      <c r="DE14" s="32">
        <v>1</v>
      </c>
      <c r="DF14" s="32">
        <v>0.9889934983757257</v>
      </c>
      <c r="DG14" s="32">
        <v>0.88252569750367105</v>
      </c>
      <c r="DH14" s="32">
        <v>0.92929292929292928</v>
      </c>
      <c r="DI14" s="32">
        <v>0.95845697329376855</v>
      </c>
      <c r="DJ14" s="32">
        <v>0.93676470588235294</v>
      </c>
      <c r="DK14" s="32">
        <v>0.91483113069016153</v>
      </c>
      <c r="DL14" s="32">
        <v>0.95772594752186591</v>
      </c>
      <c r="DM14" s="32">
        <v>0.93548387096774188</v>
      </c>
      <c r="DN14" s="32">
        <v>0.93072589359321289</v>
      </c>
      <c r="DO14" s="32">
        <v>0.97684515195369026</v>
      </c>
      <c r="DP14" s="32">
        <v>0.94023323615160348</v>
      </c>
      <c r="DQ14" s="32">
        <v>0.95803183791606372</v>
      </c>
      <c r="DR14" s="32">
        <v>0.91107871720116618</v>
      </c>
      <c r="DS14" s="32">
        <v>0.94049346879535556</v>
      </c>
      <c r="DT14" s="32">
        <v>0.92668621700879761</v>
      </c>
      <c r="DU14" s="32">
        <v>0.95335276967930027</v>
      </c>
      <c r="DV14" s="32">
        <v>0.94381734267228246</v>
      </c>
      <c r="DW14" s="32">
        <v>0.96893491124260356</v>
      </c>
      <c r="DX14" s="32">
        <v>0.93411420204978035</v>
      </c>
      <c r="DY14" s="32">
        <v>0.99407407407407411</v>
      </c>
      <c r="DZ14" s="32">
        <v>0.91483113069016153</v>
      </c>
      <c r="EA14" s="32">
        <v>0.95021961932650079</v>
      </c>
      <c r="EB14" s="32">
        <v>0.94040697674418605</v>
      </c>
      <c r="EC14" s="32">
        <v>0.92700729927007297</v>
      </c>
      <c r="ED14" s="32">
        <v>0.94708403048533985</v>
      </c>
      <c r="EE14" s="32">
        <v>0.97976878612716767</v>
      </c>
      <c r="EF14" s="32">
        <v>0.93138686131386861</v>
      </c>
      <c r="EG14" s="32">
        <v>0.97959183673469385</v>
      </c>
      <c r="EH14" s="32">
        <v>0.93313953488372092</v>
      </c>
      <c r="EI14" s="32">
        <v>0.93304221251819508</v>
      </c>
      <c r="EJ14" s="32">
        <v>0.93877551020408168</v>
      </c>
      <c r="EK14" s="32">
        <v>0.93722627737226283</v>
      </c>
      <c r="EL14" s="32">
        <v>0.94756157416485587</v>
      </c>
    </row>
    <row r="15" spans="2:142" x14ac:dyDescent="0.25">
      <c r="B15" s="19" t="s">
        <v>404</v>
      </c>
      <c r="C15" s="2">
        <v>684983</v>
      </c>
      <c r="D15" s="2">
        <v>645005</v>
      </c>
      <c r="E15" s="3"/>
      <c r="F15" s="3">
        <f t="shared" si="8"/>
        <v>0.94163650776734609</v>
      </c>
      <c r="G15" s="3"/>
      <c r="H15" s="3"/>
      <c r="I15" s="19" t="s">
        <v>47</v>
      </c>
      <c r="J15" s="2">
        <v>70480</v>
      </c>
      <c r="K15" s="2">
        <v>63920</v>
      </c>
      <c r="L15" s="2">
        <v>95791</v>
      </c>
      <c r="M15" s="2">
        <v>85986</v>
      </c>
      <c r="N15" s="2">
        <v>125901</v>
      </c>
      <c r="O15" s="2">
        <v>114414</v>
      </c>
      <c r="P15" s="2">
        <v>118631</v>
      </c>
      <c r="Q15" s="2">
        <v>101582</v>
      </c>
      <c r="R15" s="2">
        <v>101557</v>
      </c>
      <c r="S15" s="2">
        <v>90410</v>
      </c>
      <c r="T15" s="2">
        <v>91919</v>
      </c>
      <c r="U15" s="2">
        <v>83782</v>
      </c>
      <c r="V15" s="2">
        <v>66438</v>
      </c>
      <c r="W15" s="2">
        <v>59237</v>
      </c>
      <c r="X15" s="2">
        <v>670717</v>
      </c>
      <c r="Y15" s="2">
        <v>599331</v>
      </c>
      <c r="Z15" s="3"/>
      <c r="AA15" s="20" t="s">
        <v>55</v>
      </c>
      <c r="AB15" s="3">
        <f t="shared" si="0"/>
        <v>0.93727685484389334</v>
      </c>
      <c r="AC15" s="3">
        <f t="shared" si="1"/>
        <v>0.94479248638207847</v>
      </c>
      <c r="AD15" s="3">
        <f t="shared" si="2"/>
        <v>0.94125030209007354</v>
      </c>
      <c r="AE15" s="3">
        <f t="shared" si="3"/>
        <v>0.91101304776993453</v>
      </c>
      <c r="AF15" s="3">
        <f t="shared" si="4"/>
        <v>0.95246831932414555</v>
      </c>
      <c r="AG15" s="3">
        <f t="shared" si="5"/>
        <v>0.93433712176263695</v>
      </c>
      <c r="AH15" s="3">
        <f t="shared" si="6"/>
        <v>0.95145956828095291</v>
      </c>
      <c r="AI15" s="3">
        <f>(VLOOKUP($AA15,$I$8:$Y$1048576,11,FALSE)/VLOOKUP($AA15,$I$8:$Y$1048576,10,FALSE))</f>
        <v>0.93423981651906607</v>
      </c>
      <c r="AL15" s="19" t="s">
        <v>72</v>
      </c>
      <c r="AM15" s="32">
        <v>0.99226804123711343</v>
      </c>
      <c r="AN15" s="32">
        <v>0.90314136125654454</v>
      </c>
      <c r="AO15" s="32">
        <v>0.95052083333333337</v>
      </c>
      <c r="AP15" s="32">
        <v>0.98162729658792647</v>
      </c>
      <c r="AQ15" s="32">
        <v>0.97704081632653061</v>
      </c>
      <c r="AR15" s="32">
        <v>0.94764397905759157</v>
      </c>
      <c r="AS15" s="32">
        <v>0.9765625</v>
      </c>
      <c r="AT15" s="32">
        <v>0.9612578325427199</v>
      </c>
      <c r="AU15" s="32">
        <v>0.98958333333333337</v>
      </c>
      <c r="AV15" s="32">
        <v>0.99742930591259638</v>
      </c>
      <c r="AW15" s="32">
        <v>0.96816976127320953</v>
      </c>
      <c r="AX15" s="32">
        <v>0.97395833333333337</v>
      </c>
      <c r="AY15" s="32">
        <v>0.98976982097186705</v>
      </c>
      <c r="AZ15" s="32">
        <v>0.982051282051282</v>
      </c>
      <c r="BA15" s="32">
        <v>0.98955613577023493</v>
      </c>
      <c r="BB15" s="32">
        <v>0.98435971037797942</v>
      </c>
      <c r="BC15" s="32">
        <v>0.99743589743589745</v>
      </c>
      <c r="BD15" s="32">
        <v>1</v>
      </c>
      <c r="BE15" s="32">
        <v>0.97186700767263423</v>
      </c>
      <c r="BF15" s="32">
        <v>0.98218829516539441</v>
      </c>
      <c r="BG15" s="32">
        <v>0.99750623441396513</v>
      </c>
      <c r="BH15" s="32">
        <v>0.99246231155778897</v>
      </c>
      <c r="BI15" s="32">
        <v>0.9455445544554455</v>
      </c>
      <c r="BJ15" s="32">
        <v>0.98385775724301794</v>
      </c>
      <c r="BK15" s="32">
        <v>1</v>
      </c>
      <c r="BL15" s="32">
        <v>0.99502487562189057</v>
      </c>
      <c r="BM15" s="32">
        <v>1</v>
      </c>
      <c r="BN15" s="32">
        <v>0.99496221662468509</v>
      </c>
      <c r="BO15" s="32">
        <v>0.95901639344262291</v>
      </c>
      <c r="BP15" s="32">
        <v>0.97674418604651159</v>
      </c>
      <c r="BQ15" s="32">
        <v>0.88797814207650272</v>
      </c>
      <c r="BR15" s="32">
        <v>0.97338940197317325</v>
      </c>
      <c r="BS15" s="32">
        <v>1</v>
      </c>
      <c r="BT15" s="32">
        <v>1</v>
      </c>
      <c r="BU15" s="32">
        <v>1</v>
      </c>
      <c r="BV15" s="32">
        <v>0.95724465558194771</v>
      </c>
      <c r="BW15" s="32">
        <v>0.97959183673469385</v>
      </c>
      <c r="BX15" s="32">
        <v>1</v>
      </c>
      <c r="BY15" s="32">
        <v>0.95663265306122447</v>
      </c>
      <c r="BZ15" s="32">
        <v>0.98478130648255224</v>
      </c>
      <c r="CA15" s="32">
        <v>0.98984771573604058</v>
      </c>
      <c r="CB15" s="32">
        <v>0.99762470308788598</v>
      </c>
      <c r="CC15" s="32">
        <v>0.95052083333333337</v>
      </c>
      <c r="CD15" s="32">
        <v>0.95561357702349869</v>
      </c>
      <c r="CE15" s="32">
        <v>0.98250000000000004</v>
      </c>
      <c r="CF15" s="32">
        <v>0.99282296650717705</v>
      </c>
      <c r="CG15" s="32">
        <v>1</v>
      </c>
      <c r="CH15" s="32">
        <v>0.98127568509827634</v>
      </c>
      <c r="CI15" s="32">
        <v>0.99745547073791352</v>
      </c>
      <c r="CJ15" s="32">
        <v>0.9974025974025974</v>
      </c>
      <c r="CK15" s="32">
        <v>0.9974619289340102</v>
      </c>
      <c r="CL15" s="32">
        <v>0.98525798525798525</v>
      </c>
      <c r="CM15" s="32">
        <v>0.97512437810945274</v>
      </c>
      <c r="CN15" s="32">
        <v>0.99009900990099009</v>
      </c>
      <c r="CO15" s="32">
        <v>0.99509803921568629</v>
      </c>
      <c r="CP15" s="32">
        <v>0.99112848707980505</v>
      </c>
      <c r="CQ15" s="32">
        <v>0.97662337662337662</v>
      </c>
      <c r="CR15" s="32">
        <v>0.99755501222493892</v>
      </c>
      <c r="CS15" s="32">
        <v>0.96649484536082475</v>
      </c>
      <c r="CT15" s="32">
        <v>0.96915167095115684</v>
      </c>
      <c r="CU15" s="32">
        <v>0.98989898989898994</v>
      </c>
      <c r="CV15" s="32">
        <v>1</v>
      </c>
      <c r="CW15" s="32">
        <v>0.98753117206982544</v>
      </c>
      <c r="CX15" s="32">
        <v>0.98389358101844471</v>
      </c>
      <c r="CY15" s="32">
        <v>0.9901719901719902</v>
      </c>
      <c r="CZ15" s="32">
        <v>0.99749373433583954</v>
      </c>
      <c r="DA15" s="32">
        <v>0.99250000000000005</v>
      </c>
      <c r="DB15" s="32">
        <v>0.99022004889975546</v>
      </c>
      <c r="DC15" s="32">
        <v>0.97524752475247523</v>
      </c>
      <c r="DD15" s="32">
        <v>0.9975186104218362</v>
      </c>
      <c r="DE15" s="32">
        <v>0.99751243781094523</v>
      </c>
      <c r="DF15" s="32">
        <v>0.99152347805612029</v>
      </c>
      <c r="DG15" s="32">
        <v>0.97761194029850751</v>
      </c>
      <c r="DH15" s="32">
        <v>0.97342995169082125</v>
      </c>
      <c r="DI15" s="32">
        <v>0.982051282051282</v>
      </c>
      <c r="DJ15" s="32">
        <v>0.98966408268733852</v>
      </c>
      <c r="DK15" s="32">
        <v>0.9975308641975309</v>
      </c>
      <c r="DL15" s="32">
        <v>0.96491228070175439</v>
      </c>
      <c r="DM15" s="32">
        <v>1</v>
      </c>
      <c r="DN15" s="32">
        <v>0.98360005737531908</v>
      </c>
      <c r="DO15" s="32">
        <v>0.99485861182519275</v>
      </c>
      <c r="DP15" s="32">
        <v>0.98730964467005078</v>
      </c>
      <c r="DQ15" s="32">
        <v>0.96915167095115684</v>
      </c>
      <c r="DR15" s="32">
        <v>0.98453608247422686</v>
      </c>
      <c r="DS15" s="32">
        <v>0.99248120300751874</v>
      </c>
      <c r="DT15" s="32">
        <v>1</v>
      </c>
      <c r="DU15" s="32">
        <v>0.99503722084367241</v>
      </c>
      <c r="DV15" s="32">
        <v>0.98905349053883118</v>
      </c>
      <c r="DW15" s="32">
        <v>0.96923076923076923</v>
      </c>
      <c r="DX15" s="32">
        <v>0.97989949748743721</v>
      </c>
      <c r="DY15" s="32">
        <v>0.94072164948453607</v>
      </c>
      <c r="DZ15" s="32">
        <v>1</v>
      </c>
      <c r="EA15" s="32">
        <v>0.98496240601503759</v>
      </c>
      <c r="EB15" s="32">
        <v>0.99503722084367241</v>
      </c>
      <c r="EC15" s="32">
        <v>0.98514851485148514</v>
      </c>
      <c r="ED15" s="32">
        <v>0.97928572255899116</v>
      </c>
      <c r="EE15" s="32">
        <v>1</v>
      </c>
      <c r="EF15" s="32">
        <v>1</v>
      </c>
      <c r="EG15" s="32">
        <v>0.9974619289340102</v>
      </c>
      <c r="EH15" s="32">
        <v>0.99259259259259258</v>
      </c>
      <c r="EI15" s="32">
        <v>0.98743718592964824</v>
      </c>
      <c r="EJ15" s="32">
        <v>0.9975669099756691</v>
      </c>
      <c r="EK15" s="32">
        <v>0.9779411764705882</v>
      </c>
      <c r="EL15" s="32">
        <v>0.99328568484321544</v>
      </c>
    </row>
    <row r="16" spans="2:142" x14ac:dyDescent="0.25">
      <c r="B16" s="19" t="s">
        <v>413</v>
      </c>
      <c r="C16" s="2">
        <v>685021</v>
      </c>
      <c r="D16" s="2">
        <v>644060</v>
      </c>
      <c r="E16" s="3"/>
      <c r="F16" s="3">
        <f t="shared" si="8"/>
        <v>0.94020475284699301</v>
      </c>
      <c r="G16" s="3"/>
      <c r="H16" s="3"/>
      <c r="I16" s="19" t="s">
        <v>48</v>
      </c>
      <c r="J16" s="2">
        <v>71866</v>
      </c>
      <c r="K16" s="2">
        <v>68887</v>
      </c>
      <c r="L16" s="2">
        <v>96840</v>
      </c>
      <c r="M16" s="2">
        <v>90553</v>
      </c>
      <c r="N16" s="2">
        <v>125194</v>
      </c>
      <c r="O16" s="2">
        <v>119299</v>
      </c>
      <c r="P16" s="2">
        <v>120713</v>
      </c>
      <c r="Q16" s="2">
        <v>111151</v>
      </c>
      <c r="R16" s="2">
        <v>103284</v>
      </c>
      <c r="S16" s="2">
        <v>96531</v>
      </c>
      <c r="T16" s="2">
        <v>94177</v>
      </c>
      <c r="U16" s="2">
        <v>89990</v>
      </c>
      <c r="V16" s="2">
        <v>67928</v>
      </c>
      <c r="W16" s="2">
        <v>63928</v>
      </c>
      <c r="X16" s="2">
        <v>680002</v>
      </c>
      <c r="Y16" s="2">
        <v>640339</v>
      </c>
      <c r="Z16" s="3"/>
      <c r="AA16" s="20" t="s">
        <v>56</v>
      </c>
      <c r="AB16" s="3">
        <f>(VLOOKUP($AA16,$I$8:$Y$1048576,17,FALSE)/VLOOKUP($AA16,$I$8:$Y$1048576,16,FALSE))</f>
        <v>0.9394634758528988</v>
      </c>
      <c r="AC16" s="3">
        <f t="shared" si="1"/>
        <v>0.94532777202830831</v>
      </c>
      <c r="AD16" s="3">
        <f t="shared" si="2"/>
        <v>0.94586319725771273</v>
      </c>
      <c r="AE16" s="3">
        <f t="shared" si="3"/>
        <v>0.91531819050706031</v>
      </c>
      <c r="AF16" s="3">
        <f t="shared" si="4"/>
        <v>0.95466879489225853</v>
      </c>
      <c r="AG16" s="3">
        <f t="shared" si="5"/>
        <v>0.93722329928528025</v>
      </c>
      <c r="AH16" s="3">
        <f t="shared" si="6"/>
        <v>0.95343711639325968</v>
      </c>
      <c r="AI16" s="3">
        <f t="shared" si="7"/>
        <v>0.93220502342078382</v>
      </c>
      <c r="AL16" s="19" t="s">
        <v>73</v>
      </c>
      <c r="AM16" s="32">
        <v>0.78388278388278387</v>
      </c>
      <c r="AN16" s="32">
        <v>0.8571428571428571</v>
      </c>
      <c r="AO16" s="32">
        <v>0.77289377289377292</v>
      </c>
      <c r="AP16" s="32">
        <v>0.78966789667896675</v>
      </c>
      <c r="AQ16" s="32">
        <v>0.86170212765957444</v>
      </c>
      <c r="AR16" s="32">
        <v>0.88652482269503541</v>
      </c>
      <c r="AS16" s="32">
        <v>0.92553191489361697</v>
      </c>
      <c r="AT16" s="32">
        <v>0.83962088226380105</v>
      </c>
      <c r="AU16" s="32">
        <v>0.92753623188405798</v>
      </c>
      <c r="AV16" s="32">
        <v>0.87900355871886116</v>
      </c>
      <c r="AW16" s="32">
        <v>0.88122605363984674</v>
      </c>
      <c r="AX16" s="32">
        <v>0.81297709923664119</v>
      </c>
      <c r="AY16" s="32">
        <v>0.87003610108303253</v>
      </c>
      <c r="AZ16" s="32">
        <v>0.90357142857142858</v>
      </c>
      <c r="BA16" s="32">
        <v>0.90747330960854089</v>
      </c>
      <c r="BB16" s="32">
        <v>0.8831176832489156</v>
      </c>
      <c r="BC16" s="32">
        <v>0.8443579766536965</v>
      </c>
      <c r="BD16" s="32">
        <v>0.81454545454545457</v>
      </c>
      <c r="BE16" s="32">
        <v>0.80632411067193677</v>
      </c>
      <c r="BF16" s="32">
        <v>0.75984251968503935</v>
      </c>
      <c r="BG16" s="32">
        <v>0.85559566787003605</v>
      </c>
      <c r="BH16" s="32">
        <v>0.86080586080586086</v>
      </c>
      <c r="BI16" s="32">
        <v>0.87364620938628157</v>
      </c>
      <c r="BJ16" s="32">
        <v>0.8307311142311864</v>
      </c>
      <c r="BK16" s="32">
        <v>0.76271186440677963</v>
      </c>
      <c r="BL16" s="32">
        <v>0.7246963562753036</v>
      </c>
      <c r="BM16" s="32">
        <v>0.78602620087336239</v>
      </c>
      <c r="BN16" s="32">
        <v>0.70078740157480313</v>
      </c>
      <c r="BO16" s="32">
        <v>0.62231759656652363</v>
      </c>
      <c r="BP16" s="32">
        <v>0.67982456140350878</v>
      </c>
      <c r="BQ16" s="32">
        <v>0.60504201680672265</v>
      </c>
      <c r="BR16" s="32">
        <v>0.6973437139867148</v>
      </c>
      <c r="BS16" s="32">
        <v>0.77559055118110232</v>
      </c>
      <c r="BT16" s="32">
        <v>0.74509803921568629</v>
      </c>
      <c r="BU16" s="32">
        <v>0.72177419354838712</v>
      </c>
      <c r="BV16" s="32">
        <v>0.68421052631578949</v>
      </c>
      <c r="BW16" s="32">
        <v>0.8110236220472441</v>
      </c>
      <c r="BX16" s="32">
        <v>0.74693877551020404</v>
      </c>
      <c r="BY16" s="32">
        <v>0.6179775280898876</v>
      </c>
      <c r="BZ16" s="32">
        <v>0.72894474798690012</v>
      </c>
      <c r="CA16" s="32">
        <v>0.98449612403100772</v>
      </c>
      <c r="CB16" s="32">
        <v>0.80232558139534882</v>
      </c>
      <c r="CC16" s="32">
        <v>0.86259541984732824</v>
      </c>
      <c r="CD16" s="32">
        <v>0.72262773722627738</v>
      </c>
      <c r="CE16" s="32">
        <v>0.90036900369003692</v>
      </c>
      <c r="CF16" s="32">
        <v>0.8029197080291971</v>
      </c>
      <c r="CG16" s="32">
        <v>0.83823529411764708</v>
      </c>
      <c r="CH16" s="32">
        <v>0.84479555261954897</v>
      </c>
      <c r="CI16" s="32">
        <v>0.91287878787878785</v>
      </c>
      <c r="CJ16" s="32">
        <v>0.83695652173913049</v>
      </c>
      <c r="CK16" s="32">
        <v>0.79699248120300747</v>
      </c>
      <c r="CL16" s="32">
        <v>0.75539568345323738</v>
      </c>
      <c r="CM16" s="32">
        <v>0.86281588447653434</v>
      </c>
      <c r="CN16" s="32">
        <v>0.8290909090909091</v>
      </c>
      <c r="CO16" s="32">
        <v>0.88278388278388276</v>
      </c>
      <c r="CP16" s="32">
        <v>0.83955916437507006</v>
      </c>
      <c r="CQ16" s="32">
        <v>0.83984375</v>
      </c>
      <c r="CR16" s="32">
        <v>0.8651685393258427</v>
      </c>
      <c r="CS16" s="32">
        <v>0.8125</v>
      </c>
      <c r="CT16" s="32">
        <v>0.73484848484848486</v>
      </c>
      <c r="CU16" s="32">
        <v>0.8764044943820225</v>
      </c>
      <c r="CV16" s="32">
        <v>0.85869565217391308</v>
      </c>
      <c r="CW16" s="32">
        <v>0.8592057761732852</v>
      </c>
      <c r="CX16" s="32">
        <v>0.83523809955764983</v>
      </c>
      <c r="CY16" s="32">
        <v>0.91796875</v>
      </c>
      <c r="CZ16" s="32">
        <v>0.81297709923664119</v>
      </c>
      <c r="DA16" s="32">
        <v>0.77153558052434457</v>
      </c>
      <c r="DB16" s="32">
        <v>0.75091575091575091</v>
      </c>
      <c r="DC16" s="32">
        <v>0.87591240875912413</v>
      </c>
      <c r="DD16" s="32">
        <v>0.8498168498168498</v>
      </c>
      <c r="DE16" s="32">
        <v>0.88059701492537312</v>
      </c>
      <c r="DF16" s="32">
        <v>0.83710335059686902</v>
      </c>
      <c r="DG16" s="32">
        <v>0.87596899224806202</v>
      </c>
      <c r="DH16" s="32">
        <v>0.84644194756554303</v>
      </c>
      <c r="DI16" s="32">
        <v>0.81176470588235294</v>
      </c>
      <c r="DJ16" s="32">
        <v>0.72992700729927007</v>
      </c>
      <c r="DK16" s="32">
        <v>0.90217391304347827</v>
      </c>
      <c r="DL16" s="32">
        <v>0.87084870848708484</v>
      </c>
      <c r="DM16" s="32">
        <v>0.86891385767790263</v>
      </c>
      <c r="DN16" s="32">
        <v>0.84371987602909904</v>
      </c>
      <c r="DO16" s="32">
        <v>0.89370078740157477</v>
      </c>
      <c r="DP16" s="32">
        <v>0.84</v>
      </c>
      <c r="DQ16" s="32">
        <v>0.83657587548638135</v>
      </c>
      <c r="DR16" s="32">
        <v>0.72101449275362317</v>
      </c>
      <c r="DS16" s="32">
        <v>0.88593155893536124</v>
      </c>
      <c r="DT16" s="32">
        <v>0.86446886446886451</v>
      </c>
      <c r="DU16" s="32">
        <v>0.81851851851851853</v>
      </c>
      <c r="DV16" s="32">
        <v>0.83717287108061755</v>
      </c>
      <c r="DW16" s="32">
        <v>0.82101167315175094</v>
      </c>
      <c r="DX16" s="32">
        <v>0.78888888888888886</v>
      </c>
      <c r="DY16" s="32">
        <v>0.76226415094339628</v>
      </c>
      <c r="DZ16" s="32">
        <v>0.74632352941176472</v>
      </c>
      <c r="EA16" s="32">
        <v>0.8844765342960289</v>
      </c>
      <c r="EB16" s="32">
        <v>0.86715867158671589</v>
      </c>
      <c r="EC16" s="32">
        <v>0.86245353159851301</v>
      </c>
      <c r="ED16" s="32">
        <v>0.81893956855386552</v>
      </c>
      <c r="EE16" s="32">
        <v>0.89010989010989006</v>
      </c>
      <c r="EF16" s="32">
        <v>0.86281588447653434</v>
      </c>
      <c r="EG16" s="32">
        <v>0.83082706766917291</v>
      </c>
      <c r="EH16" s="32">
        <v>0.82078853046594979</v>
      </c>
      <c r="EI16" s="32">
        <v>0.89056603773584908</v>
      </c>
      <c r="EJ16" s="32">
        <v>0.84306569343065696</v>
      </c>
      <c r="EK16" s="32">
        <v>0.84782608695652173</v>
      </c>
      <c r="EL16" s="32">
        <v>0.85514274154922487</v>
      </c>
    </row>
    <row r="17" spans="2:142" x14ac:dyDescent="0.25">
      <c r="B17" s="19" t="s">
        <v>422</v>
      </c>
      <c r="C17" s="2">
        <v>684532</v>
      </c>
      <c r="D17" s="2">
        <v>641596</v>
      </c>
      <c r="E17" s="3"/>
      <c r="F17" s="3">
        <f t="shared" si="8"/>
        <v>0.93727685484389334</v>
      </c>
      <c r="G17" s="3"/>
      <c r="H17" s="3"/>
      <c r="I17" s="19" t="s">
        <v>49</v>
      </c>
      <c r="J17" s="2">
        <v>72470</v>
      </c>
      <c r="K17" s="2">
        <v>69696</v>
      </c>
      <c r="L17" s="2">
        <v>98364</v>
      </c>
      <c r="M17" s="2">
        <v>93532</v>
      </c>
      <c r="N17" s="2">
        <v>128826</v>
      </c>
      <c r="O17" s="2">
        <v>123244</v>
      </c>
      <c r="P17" s="2">
        <v>121723</v>
      </c>
      <c r="Q17" s="2">
        <v>113951</v>
      </c>
      <c r="R17" s="2">
        <v>104172</v>
      </c>
      <c r="S17" s="2">
        <v>98647</v>
      </c>
      <c r="T17" s="2">
        <v>94352</v>
      </c>
      <c r="U17" s="2">
        <v>90869</v>
      </c>
      <c r="V17" s="2">
        <v>69016</v>
      </c>
      <c r="W17" s="2">
        <v>65274</v>
      </c>
      <c r="X17" s="2">
        <v>688923</v>
      </c>
      <c r="Y17" s="2">
        <v>655213</v>
      </c>
      <c r="Z17" s="3"/>
      <c r="AA17" s="20"/>
      <c r="AB17" s="3"/>
      <c r="AC17" s="3"/>
      <c r="AD17" s="3"/>
      <c r="AE17" s="3"/>
      <c r="AF17" s="3"/>
      <c r="AG17" s="3"/>
      <c r="AH17" s="3"/>
      <c r="AI17" s="3"/>
      <c r="AL17" s="19" t="s">
        <v>74</v>
      </c>
      <c r="AM17" s="32">
        <v>0.97080291970802923</v>
      </c>
      <c r="AN17" s="32">
        <v>0.97810218978102192</v>
      </c>
      <c r="AO17" s="32">
        <v>0.9722627737226277</v>
      </c>
      <c r="AP17" s="32">
        <v>0.9664233576642336</v>
      </c>
      <c r="AQ17" s="32">
        <v>0.9722627737226277</v>
      </c>
      <c r="AR17" s="32">
        <v>0.97518248175182487</v>
      </c>
      <c r="AS17" s="32">
        <v>0.97518248175182487</v>
      </c>
      <c r="AT17" s="32">
        <v>0.97288842544317</v>
      </c>
      <c r="AU17" s="32">
        <v>0.95182481751824821</v>
      </c>
      <c r="AV17" s="32">
        <v>0.9795620437956204</v>
      </c>
      <c r="AW17" s="32">
        <v>0.95766423357664232</v>
      </c>
      <c r="AX17" s="32">
        <v>0.97372262773722629</v>
      </c>
      <c r="AY17" s="32">
        <v>0.9795620437956204</v>
      </c>
      <c r="AZ17" s="32">
        <v>0.98248175182481756</v>
      </c>
      <c r="BA17" s="32">
        <v>0.97372262773722629</v>
      </c>
      <c r="BB17" s="32">
        <v>0.97122002085505721</v>
      </c>
      <c r="BC17" s="32">
        <v>0.96058394160583938</v>
      </c>
      <c r="BD17" s="32">
        <v>0.9795620437956204</v>
      </c>
      <c r="BE17" s="32">
        <v>0.94598540145985399</v>
      </c>
      <c r="BF17" s="32">
        <v>0.95474452554744527</v>
      </c>
      <c r="BG17" s="32">
        <v>0.96934306569343065</v>
      </c>
      <c r="BH17" s="32">
        <v>0.97372262773722629</v>
      </c>
      <c r="BI17" s="32">
        <v>0.97518248175182487</v>
      </c>
      <c r="BJ17" s="32">
        <v>0.96558915537017731</v>
      </c>
      <c r="BK17" s="32">
        <v>0.96058394160583938</v>
      </c>
      <c r="BL17" s="32">
        <v>0.96204379562043796</v>
      </c>
      <c r="BM17" s="32">
        <v>0.96934306569343065</v>
      </c>
      <c r="BN17" s="32">
        <v>0.97810218978102192</v>
      </c>
      <c r="BO17" s="32">
        <v>0.93430656934306566</v>
      </c>
      <c r="BP17" s="32">
        <v>0.89343065693430657</v>
      </c>
      <c r="BQ17" s="32">
        <v>0.89051094890510951</v>
      </c>
      <c r="BR17" s="32">
        <v>0.94118873826903016</v>
      </c>
      <c r="BS17" s="32">
        <v>0.96496350364963501</v>
      </c>
      <c r="BT17" s="32">
        <v>0.97810218978102192</v>
      </c>
      <c r="BU17" s="32">
        <v>0.97372262773722629</v>
      </c>
      <c r="BV17" s="32">
        <v>0.9722627737226277</v>
      </c>
      <c r="BW17" s="32">
        <v>0.97810218978102192</v>
      </c>
      <c r="BX17" s="32">
        <v>0.97372262773722629</v>
      </c>
      <c r="BY17" s="32">
        <v>0.97810218978102192</v>
      </c>
      <c r="BZ17" s="32">
        <v>0.97413972888425449</v>
      </c>
      <c r="CA17" s="32">
        <v>0.97080291970802923</v>
      </c>
      <c r="CB17" s="32">
        <v>0.97080291970802923</v>
      </c>
      <c r="CC17" s="32">
        <v>0.97664233576642334</v>
      </c>
      <c r="CD17" s="32">
        <v>0.98394160583941603</v>
      </c>
      <c r="CE17" s="32">
        <v>0.99124087591240873</v>
      </c>
      <c r="CF17" s="32">
        <v>0.96934306569343065</v>
      </c>
      <c r="CG17" s="32">
        <v>0.98540145985401462</v>
      </c>
      <c r="CH17" s="32">
        <v>0.97831074035453602</v>
      </c>
      <c r="CI17" s="32">
        <v>0.96934306569343065</v>
      </c>
      <c r="CJ17" s="32">
        <v>0.98686131386861309</v>
      </c>
      <c r="CK17" s="32">
        <v>0.9591240875912409</v>
      </c>
      <c r="CL17" s="32">
        <v>0.9664233576642336</v>
      </c>
      <c r="CM17" s="32">
        <v>0.97372262773722629</v>
      </c>
      <c r="CN17" s="32">
        <v>0.97518248175182487</v>
      </c>
      <c r="CO17" s="32">
        <v>0.97080291970802923</v>
      </c>
      <c r="CP17" s="32">
        <v>0.97163712200208541</v>
      </c>
      <c r="CQ17" s="32">
        <v>0.94744525547445257</v>
      </c>
      <c r="CR17" s="32">
        <v>0.98540145985401462</v>
      </c>
      <c r="CS17" s="32">
        <v>0.95620437956204385</v>
      </c>
      <c r="CT17" s="32">
        <v>0.96496350364963501</v>
      </c>
      <c r="CU17" s="32">
        <v>0.97080291970802923</v>
      </c>
      <c r="CV17" s="32">
        <v>0.96058394160583938</v>
      </c>
      <c r="CW17" s="32">
        <v>0.96204379562043796</v>
      </c>
      <c r="CX17" s="32">
        <v>0.96392075078206463</v>
      </c>
      <c r="CY17" s="32">
        <v>0.96496350364963501</v>
      </c>
      <c r="CZ17" s="32">
        <v>0.96934306569343065</v>
      </c>
      <c r="DA17" s="32">
        <v>0.95036496350364963</v>
      </c>
      <c r="DB17" s="32">
        <v>0.96934306569343065</v>
      </c>
      <c r="DC17" s="32">
        <v>0.96788321167883207</v>
      </c>
      <c r="DD17" s="32">
        <v>0.96934306569343065</v>
      </c>
      <c r="DE17" s="32">
        <v>0.97518248175182487</v>
      </c>
      <c r="DF17" s="32">
        <v>0.96663190823774758</v>
      </c>
      <c r="DG17" s="32">
        <v>0.96788321167883207</v>
      </c>
      <c r="DH17" s="32">
        <v>0.98686131386861309</v>
      </c>
      <c r="DI17" s="32">
        <v>0.95474452554744527</v>
      </c>
      <c r="DJ17" s="32">
        <v>0.97080291970802923</v>
      </c>
      <c r="DK17" s="32">
        <v>0.97518248175182487</v>
      </c>
      <c r="DL17" s="32">
        <v>0.9795620437956204</v>
      </c>
      <c r="DM17" s="32">
        <v>0.97664233576642334</v>
      </c>
      <c r="DN17" s="32">
        <v>0.9730969760166841</v>
      </c>
      <c r="DO17" s="32">
        <v>0.94744525547445257</v>
      </c>
      <c r="DP17" s="32">
        <v>0.9591240875912409</v>
      </c>
      <c r="DQ17" s="32">
        <v>0.95328467153284668</v>
      </c>
      <c r="DR17" s="32">
        <v>0.96496350364963501</v>
      </c>
      <c r="DS17" s="32">
        <v>0.94598540145985399</v>
      </c>
      <c r="DT17" s="32">
        <v>0.95620437956204385</v>
      </c>
      <c r="DU17" s="32">
        <v>0.95182481751824821</v>
      </c>
      <c r="DV17" s="32">
        <v>0.95411887382690297</v>
      </c>
      <c r="DW17" s="32">
        <v>0.9386861313868613</v>
      </c>
      <c r="DX17" s="32">
        <v>0.96934306569343065</v>
      </c>
      <c r="DY17" s="32">
        <v>0.92846715328467155</v>
      </c>
      <c r="DZ17" s="32">
        <v>0.94598540145985399</v>
      </c>
      <c r="EA17" s="32">
        <v>0.95328467153284668</v>
      </c>
      <c r="EB17" s="32">
        <v>0.95182481751824821</v>
      </c>
      <c r="EC17" s="32">
        <v>0.96496350364963501</v>
      </c>
      <c r="ED17" s="32">
        <v>0.95036496350364963</v>
      </c>
      <c r="EE17" s="32">
        <v>0.95036496350364963</v>
      </c>
      <c r="EF17" s="32">
        <v>0.96788321167883207</v>
      </c>
      <c r="EG17" s="32">
        <v>0.9255474452554745</v>
      </c>
      <c r="EH17" s="32">
        <v>0.94452554744525552</v>
      </c>
      <c r="EI17" s="32">
        <v>0.94452554744525552</v>
      </c>
      <c r="EJ17" s="32">
        <v>0.9722627737226277</v>
      </c>
      <c r="EK17" s="32">
        <v>0.97080291970802923</v>
      </c>
      <c r="EL17" s="32">
        <v>0.95370177267987477</v>
      </c>
    </row>
    <row r="18" spans="2:142" x14ac:dyDescent="0.25">
      <c r="B18" s="19" t="s">
        <v>431</v>
      </c>
      <c r="C18" s="2">
        <v>682877</v>
      </c>
      <c r="D18" s="2">
        <v>641538</v>
      </c>
      <c r="E18" s="3"/>
      <c r="F18" s="3">
        <f t="shared" si="8"/>
        <v>0.9394634758528988</v>
      </c>
      <c r="G18" s="3"/>
      <c r="H18" s="3"/>
      <c r="I18" s="19" t="s">
        <v>50</v>
      </c>
      <c r="J18" s="2">
        <v>72235</v>
      </c>
      <c r="K18" s="2">
        <v>69620</v>
      </c>
      <c r="L18" s="2">
        <v>98494</v>
      </c>
      <c r="M18" s="2">
        <v>93705</v>
      </c>
      <c r="N18" s="2">
        <v>128662</v>
      </c>
      <c r="O18" s="2">
        <v>123383</v>
      </c>
      <c r="P18" s="2">
        <v>121490</v>
      </c>
      <c r="Q18" s="2">
        <v>113473</v>
      </c>
      <c r="R18" s="2">
        <v>103143</v>
      </c>
      <c r="S18" s="2">
        <v>96949</v>
      </c>
      <c r="T18" s="2">
        <v>94661</v>
      </c>
      <c r="U18" s="2">
        <v>90694</v>
      </c>
      <c r="V18" s="2">
        <v>68743</v>
      </c>
      <c r="W18" s="2">
        <v>65006</v>
      </c>
      <c r="X18" s="2">
        <v>687428</v>
      </c>
      <c r="Y18" s="2">
        <v>652830</v>
      </c>
      <c r="Z18" s="3"/>
      <c r="AA18" s="3"/>
      <c r="AB18" s="3"/>
      <c r="AC18" s="3"/>
      <c r="AD18" s="3"/>
      <c r="AE18" s="3"/>
      <c r="AF18" s="3"/>
      <c r="AG18" s="3"/>
      <c r="AH18" s="3"/>
      <c r="AL18" s="19" t="s">
        <v>75</v>
      </c>
      <c r="AM18" s="32">
        <v>0.92153589315525875</v>
      </c>
      <c r="AN18" s="32">
        <v>0.95652173913043481</v>
      </c>
      <c r="AO18" s="32">
        <v>0.92976588628762546</v>
      </c>
      <c r="AP18" s="32">
        <v>0.99332220367278801</v>
      </c>
      <c r="AQ18" s="32">
        <v>0.93728813559322033</v>
      </c>
      <c r="AR18" s="32">
        <v>0.95309882747068675</v>
      </c>
      <c r="AS18" s="32">
        <v>0.97236614853195169</v>
      </c>
      <c r="AT18" s="32">
        <v>0.9519855476917094</v>
      </c>
      <c r="AU18" s="32">
        <v>0.91137123745819393</v>
      </c>
      <c r="AV18" s="32">
        <v>0.97822445561139026</v>
      </c>
      <c r="AW18" s="32">
        <v>0.93478260869565222</v>
      </c>
      <c r="AX18" s="32">
        <v>0.89148580968280466</v>
      </c>
      <c r="AY18" s="32">
        <v>0.91289782244556117</v>
      </c>
      <c r="AZ18" s="32">
        <v>0.95109612141652611</v>
      </c>
      <c r="BA18" s="32">
        <v>0.91442953020134232</v>
      </c>
      <c r="BB18" s="32">
        <v>0.92775536935878145</v>
      </c>
      <c r="BC18" s="32">
        <v>0.91666666666666663</v>
      </c>
      <c r="BD18" s="32">
        <v>0.95673876871880204</v>
      </c>
      <c r="BE18" s="32">
        <v>0.95348837209302328</v>
      </c>
      <c r="BF18" s="32">
        <v>0.9285714285714286</v>
      </c>
      <c r="BG18" s="32">
        <v>0.96296296296296291</v>
      </c>
      <c r="BH18" s="32">
        <v>0.9733777038269551</v>
      </c>
      <c r="BI18" s="32">
        <v>0.94333333333333336</v>
      </c>
      <c r="BJ18" s="32">
        <v>0.94787703373902443</v>
      </c>
      <c r="BK18" s="32">
        <v>0.89816360601001666</v>
      </c>
      <c r="BL18" s="32">
        <v>0.95979899497487442</v>
      </c>
      <c r="BM18" s="32">
        <v>0.88685524126455906</v>
      </c>
      <c r="BN18" s="32">
        <v>0.89885807504078308</v>
      </c>
      <c r="BO18" s="32">
        <v>0.81166666666666665</v>
      </c>
      <c r="BP18" s="32">
        <v>0.9234608985024958</v>
      </c>
      <c r="BQ18" s="32">
        <v>0.79367720465890179</v>
      </c>
      <c r="BR18" s="32">
        <v>0.88178295530261397</v>
      </c>
      <c r="BS18" s="32">
        <v>0.95379537953795379</v>
      </c>
      <c r="BT18" s="32">
        <v>0.9363784665579119</v>
      </c>
      <c r="BU18" s="32">
        <v>0.92915980230642503</v>
      </c>
      <c r="BV18" s="32">
        <v>0.93648208469055372</v>
      </c>
      <c r="BW18" s="32">
        <v>0.94563426688632624</v>
      </c>
      <c r="BX18" s="32">
        <v>0.94833333333333336</v>
      </c>
      <c r="BY18" s="32">
        <v>0.89154704944178631</v>
      </c>
      <c r="BZ18" s="32">
        <v>0.9344757689648987</v>
      </c>
      <c r="CA18" s="32">
        <v>0.96078431372549022</v>
      </c>
      <c r="CB18" s="32">
        <v>0.9560260586319218</v>
      </c>
      <c r="CC18" s="32">
        <v>0.91013071895424835</v>
      </c>
      <c r="CD18" s="32">
        <v>0.96091205211726383</v>
      </c>
      <c r="CE18" s="32">
        <v>0.96241830065359479</v>
      </c>
      <c r="CF18" s="32">
        <v>0.97882736156351791</v>
      </c>
      <c r="CG18" s="32">
        <v>0.97068403908794787</v>
      </c>
      <c r="CH18" s="32">
        <v>0.95711183496199781</v>
      </c>
      <c r="CI18" s="32">
        <v>0.93648208469055372</v>
      </c>
      <c r="CJ18" s="32">
        <v>0.92207792207792205</v>
      </c>
      <c r="CK18" s="32">
        <v>0.92508143322475567</v>
      </c>
      <c r="CL18" s="32">
        <v>0.93884297520661153</v>
      </c>
      <c r="CM18" s="32">
        <v>0.93344155844155841</v>
      </c>
      <c r="CN18" s="32">
        <v>0.94983818770226536</v>
      </c>
      <c r="CO18" s="32">
        <v>0.95609756097560972</v>
      </c>
      <c r="CP18" s="32">
        <v>0.93740881747418237</v>
      </c>
      <c r="CQ18" s="32">
        <v>0.93517017828200977</v>
      </c>
      <c r="CR18" s="32">
        <v>0.93344155844155841</v>
      </c>
      <c r="CS18" s="32">
        <v>0.91693811074918563</v>
      </c>
      <c r="CT18" s="32">
        <v>0.89918699186991868</v>
      </c>
      <c r="CU18" s="32">
        <v>0.91585760517799353</v>
      </c>
      <c r="CV18" s="32">
        <v>0.95616883116883122</v>
      </c>
      <c r="CW18" s="32">
        <v>0.9258064516129032</v>
      </c>
      <c r="CX18" s="32">
        <v>0.92608138961462871</v>
      </c>
      <c r="CY18" s="32">
        <v>0.93092105263157898</v>
      </c>
      <c r="CZ18" s="32">
        <v>0.93365695792880254</v>
      </c>
      <c r="DA18" s="32">
        <v>0.92282430213464695</v>
      </c>
      <c r="DB18" s="32">
        <v>0.9095315024232633</v>
      </c>
      <c r="DC18" s="32">
        <v>0.90666666666666662</v>
      </c>
      <c r="DD18" s="32">
        <v>0.97044334975369462</v>
      </c>
      <c r="DE18" s="32">
        <v>0.97528830313014825</v>
      </c>
      <c r="DF18" s="32">
        <v>0.93561887638125729</v>
      </c>
      <c r="DG18" s="32">
        <v>0.92798690671031092</v>
      </c>
      <c r="DH18" s="32">
        <v>0.95954692556634302</v>
      </c>
      <c r="DI18" s="32">
        <v>0.87335526315789469</v>
      </c>
      <c r="DJ18" s="32">
        <v>0.85326953748006384</v>
      </c>
      <c r="DK18" s="32">
        <v>0.90476190476190477</v>
      </c>
      <c r="DL18" s="32">
        <v>0.96596434359805505</v>
      </c>
      <c r="DM18" s="32">
        <v>0.89789303079416527</v>
      </c>
      <c r="DN18" s="32">
        <v>0.91182541600981959</v>
      </c>
      <c r="DO18" s="32">
        <v>0.92013311148086518</v>
      </c>
      <c r="DP18" s="32">
        <v>0.90746753246753242</v>
      </c>
      <c r="DQ18" s="32">
        <v>0.89632107023411367</v>
      </c>
      <c r="DR18" s="32">
        <v>0.91749174917491749</v>
      </c>
      <c r="DS18" s="32">
        <v>0.96046128500823724</v>
      </c>
      <c r="DT18" s="32">
        <v>0.92706645056726089</v>
      </c>
      <c r="DU18" s="32">
        <v>0.94049586776859506</v>
      </c>
      <c r="DV18" s="32">
        <v>0.92420529524307471</v>
      </c>
      <c r="DW18" s="32">
        <v>0.93344425956738764</v>
      </c>
      <c r="DX18" s="32">
        <v>0.9484193011647255</v>
      </c>
      <c r="DY18" s="32">
        <v>0.92988313856427374</v>
      </c>
      <c r="DZ18" s="32">
        <v>0.92144026186579375</v>
      </c>
      <c r="EA18" s="32">
        <v>0.93344425956738764</v>
      </c>
      <c r="EB18" s="32">
        <v>0.9750415973377704</v>
      </c>
      <c r="EC18" s="32">
        <v>0.94472361809045224</v>
      </c>
      <c r="ED18" s="32">
        <v>0.94091377659397024</v>
      </c>
      <c r="EE18" s="32">
        <v>0.93993506493506496</v>
      </c>
      <c r="EF18" s="32">
        <v>0.9089430894308943</v>
      </c>
      <c r="EG18" s="32">
        <v>0.90599675850891415</v>
      </c>
      <c r="EH18" s="32">
        <v>0.92220421393841168</v>
      </c>
      <c r="EI18" s="32">
        <v>0.94805194805194803</v>
      </c>
      <c r="EJ18" s="32">
        <v>0.95779220779220775</v>
      </c>
      <c r="EK18" s="32">
        <v>0.96097560975609753</v>
      </c>
      <c r="EL18" s="32">
        <v>0.93484269891621974</v>
      </c>
    </row>
    <row r="19" spans="2:142" x14ac:dyDescent="0.25">
      <c r="B19" s="19" t="s">
        <v>40</v>
      </c>
      <c r="C19" s="2">
        <v>8871955</v>
      </c>
      <c r="D19" s="2">
        <v>8344035</v>
      </c>
      <c r="E19" s="3"/>
      <c r="F19" s="3">
        <f t="shared" si="8"/>
        <v>0.94049564047608447</v>
      </c>
      <c r="G19" s="3"/>
      <c r="I19" s="19" t="s">
        <v>51</v>
      </c>
      <c r="J19" s="2">
        <v>71643</v>
      </c>
      <c r="K19" s="2">
        <v>68343</v>
      </c>
      <c r="L19" s="2">
        <v>98272</v>
      </c>
      <c r="M19" s="2">
        <v>93096</v>
      </c>
      <c r="N19" s="2">
        <v>128015</v>
      </c>
      <c r="O19" s="2">
        <v>121035</v>
      </c>
      <c r="P19" s="2">
        <v>120977</v>
      </c>
      <c r="Q19" s="2">
        <v>111564</v>
      </c>
      <c r="R19" s="2">
        <v>104063</v>
      </c>
      <c r="S19" s="2">
        <v>98018</v>
      </c>
      <c r="T19" s="2">
        <v>94312</v>
      </c>
      <c r="U19" s="2">
        <v>90017</v>
      </c>
      <c r="V19" s="2">
        <v>68648</v>
      </c>
      <c r="W19" s="2">
        <v>64766</v>
      </c>
      <c r="X19" s="2">
        <v>685930</v>
      </c>
      <c r="Y19" s="2">
        <v>646839</v>
      </c>
      <c r="AL19" s="19" t="s">
        <v>76</v>
      </c>
      <c r="AM19" s="32">
        <v>0.97029702970297027</v>
      </c>
      <c r="AN19" s="32">
        <v>0.97368421052631582</v>
      </c>
      <c r="AO19" s="32">
        <v>0.95387149917627678</v>
      </c>
      <c r="AP19" s="32">
        <v>0.96026490066225167</v>
      </c>
      <c r="AQ19" s="32">
        <v>0.9770491803278688</v>
      </c>
      <c r="AR19" s="32">
        <v>0.96217105263157898</v>
      </c>
      <c r="AS19" s="32">
        <v>0.97854785478547857</v>
      </c>
      <c r="AT19" s="32">
        <v>0.96798367540182018</v>
      </c>
      <c r="AU19" s="32">
        <v>0.95049504950495045</v>
      </c>
      <c r="AV19" s="32">
        <v>0.98861788617886182</v>
      </c>
      <c r="AW19" s="32">
        <v>0.96869851729818779</v>
      </c>
      <c r="AX19" s="32">
        <v>0.9755301794453507</v>
      </c>
      <c r="AY19" s="32">
        <v>0.96880131362889987</v>
      </c>
      <c r="AZ19" s="32">
        <v>1</v>
      </c>
      <c r="BA19" s="32">
        <v>0.99345335515548283</v>
      </c>
      <c r="BB19" s="32">
        <v>0.97794232874453335</v>
      </c>
      <c r="BC19" s="32">
        <v>0.94472361809045224</v>
      </c>
      <c r="BD19" s="32">
        <v>0.99024390243902438</v>
      </c>
      <c r="BE19" s="32">
        <v>0.93979933110367897</v>
      </c>
      <c r="BF19" s="32">
        <v>0.96153846153846156</v>
      </c>
      <c r="BG19" s="32">
        <v>0.96351575456053073</v>
      </c>
      <c r="BH19" s="32">
        <v>0.97073170731707314</v>
      </c>
      <c r="BI19" s="32">
        <v>0.97689768976897695</v>
      </c>
      <c r="BJ19" s="32">
        <v>0.96392149497402824</v>
      </c>
      <c r="BK19" s="32">
        <v>0.95206611570247934</v>
      </c>
      <c r="BL19" s="32">
        <v>0.93234323432343236</v>
      </c>
      <c r="BM19" s="32">
        <v>0.95730706075533667</v>
      </c>
      <c r="BN19" s="32">
        <v>0.97044334975369462</v>
      </c>
      <c r="BO19" s="32">
        <v>0.94850498338870437</v>
      </c>
      <c r="BP19" s="32">
        <v>0.88391376451077941</v>
      </c>
      <c r="BQ19" s="32">
        <v>0.9251247920133111</v>
      </c>
      <c r="BR19" s="32">
        <v>0.93852904292110551</v>
      </c>
      <c r="BS19" s="32">
        <v>0.97524752475247523</v>
      </c>
      <c r="BT19" s="32">
        <v>0.99348534201954397</v>
      </c>
      <c r="BU19" s="32">
        <v>0.98019801980198018</v>
      </c>
      <c r="BV19" s="32">
        <v>0.99177631578947367</v>
      </c>
      <c r="BW19" s="32">
        <v>0.99016393442622952</v>
      </c>
      <c r="BX19" s="32">
        <v>0.97875816993464049</v>
      </c>
      <c r="BY19" s="32">
        <v>0.97536945812807885</v>
      </c>
      <c r="BZ19" s="32">
        <v>0.98357125212177465</v>
      </c>
      <c r="CA19" s="32">
        <v>0.97101449275362317</v>
      </c>
      <c r="CB19" s="32">
        <v>0.99519230769230771</v>
      </c>
      <c r="CC19" s="32">
        <v>0.97253634894991925</v>
      </c>
      <c r="CD19" s="32">
        <v>0.97889610389610393</v>
      </c>
      <c r="CE19" s="32">
        <v>0.9759229534510433</v>
      </c>
      <c r="CF19" s="32">
        <v>0.99035369774919613</v>
      </c>
      <c r="CG19" s="32">
        <v>0.98402555910543132</v>
      </c>
      <c r="CH19" s="32">
        <v>0.98113449479966075</v>
      </c>
      <c r="CI19" s="32">
        <v>0.96747967479674801</v>
      </c>
      <c r="CJ19" s="32">
        <v>0.98045602605863191</v>
      </c>
      <c r="CK19" s="32">
        <v>0.98534201954397393</v>
      </c>
      <c r="CL19" s="32">
        <v>0.9790322580645161</v>
      </c>
      <c r="CM19" s="32">
        <v>0.98541329011345213</v>
      </c>
      <c r="CN19" s="32">
        <v>0.98397435897435892</v>
      </c>
      <c r="CO19" s="32">
        <v>0.98553054662379425</v>
      </c>
      <c r="CP19" s="32">
        <v>0.9810325963107821</v>
      </c>
      <c r="CQ19" s="32">
        <v>0.9450726978998385</v>
      </c>
      <c r="CR19" s="32">
        <v>0.96768982229402267</v>
      </c>
      <c r="CS19" s="32">
        <v>0.97235772357723582</v>
      </c>
      <c r="CT19" s="32">
        <v>0.97258064516129028</v>
      </c>
      <c r="CU19" s="32">
        <v>0.97275641025641024</v>
      </c>
      <c r="CV19" s="32">
        <v>0.97092084006462032</v>
      </c>
      <c r="CW19" s="32">
        <v>0.95315024232633283</v>
      </c>
      <c r="CX19" s="32">
        <v>0.96493262593996432</v>
      </c>
      <c r="CY19" s="32">
        <v>0.97916666666666663</v>
      </c>
      <c r="CZ19" s="32">
        <v>0.98389694041867959</v>
      </c>
      <c r="DA19" s="32">
        <v>0.9691558441558441</v>
      </c>
      <c r="DB19" s="32">
        <v>0.97708674304418985</v>
      </c>
      <c r="DC19" s="32">
        <v>0.97734627831715215</v>
      </c>
      <c r="DD19" s="32">
        <v>0.99681528662420382</v>
      </c>
      <c r="DE19" s="32">
        <v>0.99675850891410045</v>
      </c>
      <c r="DF19" s="32">
        <v>0.98288946687726242</v>
      </c>
      <c r="DG19" s="32">
        <v>0.92880258899676371</v>
      </c>
      <c r="DH19" s="32">
        <v>0.90538336052202284</v>
      </c>
      <c r="DI19" s="32">
        <v>0.93225806451612903</v>
      </c>
      <c r="DJ19" s="32">
        <v>0.9626016260162602</v>
      </c>
      <c r="DK19" s="32">
        <v>0.95772357723577239</v>
      </c>
      <c r="DL19" s="32">
        <v>0.96266233766233766</v>
      </c>
      <c r="DM19" s="32">
        <v>0.9183006535947712</v>
      </c>
      <c r="DN19" s="32">
        <v>0.93824745836343681</v>
      </c>
      <c r="DO19" s="32">
        <v>0.94165316045380876</v>
      </c>
      <c r="DP19" s="32">
        <v>0.96103896103896103</v>
      </c>
      <c r="DQ19" s="32">
        <v>0.95315024232633283</v>
      </c>
      <c r="DR19" s="32">
        <v>0.97415185783521807</v>
      </c>
      <c r="DS19" s="32">
        <v>0.94471544715447153</v>
      </c>
      <c r="DT19" s="32">
        <v>0.95934959349593496</v>
      </c>
      <c r="DU19" s="32">
        <v>0.94959349593495934</v>
      </c>
      <c r="DV19" s="32">
        <v>0.95480753689138365</v>
      </c>
      <c r="DW19" s="32">
        <v>0.91396103896103897</v>
      </c>
      <c r="DX19" s="32">
        <v>0.97082658022690438</v>
      </c>
      <c r="DY19" s="32">
        <v>0.93474714518760194</v>
      </c>
      <c r="DZ19" s="32">
        <v>0.94444444444444442</v>
      </c>
      <c r="EA19" s="32">
        <v>0.94813614262560775</v>
      </c>
      <c r="EB19" s="32">
        <v>0.9692058346839546</v>
      </c>
      <c r="EC19" s="32">
        <v>0.94462540716612375</v>
      </c>
      <c r="ED19" s="32">
        <v>0.94656379904223953</v>
      </c>
      <c r="EE19" s="32">
        <v>0.96940418679549112</v>
      </c>
      <c r="EF19" s="32">
        <v>0.97882736156351791</v>
      </c>
      <c r="EG19" s="32">
        <v>0.96284329563812598</v>
      </c>
      <c r="EH19" s="32">
        <v>0.96930533117932149</v>
      </c>
      <c r="EI19" s="32">
        <v>0.98231511254019288</v>
      </c>
      <c r="EJ19" s="32">
        <v>0.97068403908794787</v>
      </c>
      <c r="EK19" s="32">
        <v>0.97756410256410253</v>
      </c>
      <c r="EL19" s="32">
        <v>0.97299191848124267</v>
      </c>
    </row>
    <row r="20" spans="2:142" x14ac:dyDescent="0.25">
      <c r="E20" s="3"/>
      <c r="F20" s="3" t="e">
        <f t="shared" si="8"/>
        <v>#DIV/0!</v>
      </c>
      <c r="G20" s="3"/>
      <c r="I20" s="19" t="s">
        <v>52</v>
      </c>
      <c r="J20" s="2">
        <v>71740</v>
      </c>
      <c r="K20" s="2">
        <v>67992</v>
      </c>
      <c r="L20" s="2">
        <v>98468</v>
      </c>
      <c r="M20" s="2">
        <v>93695</v>
      </c>
      <c r="N20" s="2">
        <v>126624</v>
      </c>
      <c r="O20" s="2">
        <v>120806</v>
      </c>
      <c r="P20" s="2">
        <v>121011</v>
      </c>
      <c r="Q20" s="2">
        <v>112523</v>
      </c>
      <c r="R20" s="2">
        <v>104488</v>
      </c>
      <c r="S20" s="2">
        <v>98763</v>
      </c>
      <c r="T20" s="2">
        <v>94678</v>
      </c>
      <c r="U20" s="2">
        <v>91037</v>
      </c>
      <c r="V20" s="2">
        <v>69209</v>
      </c>
      <c r="W20" s="2">
        <v>65840</v>
      </c>
      <c r="X20" s="2">
        <v>686218</v>
      </c>
      <c r="Y20" s="2">
        <v>650656</v>
      </c>
      <c r="AL20" s="19" t="s">
        <v>77</v>
      </c>
      <c r="AM20" s="32">
        <v>0.9804147465437788</v>
      </c>
      <c r="AN20" s="32">
        <v>0.98744292237442921</v>
      </c>
      <c r="AO20" s="32">
        <v>0.96078431372549022</v>
      </c>
      <c r="AP20" s="32">
        <v>0.9886104783599089</v>
      </c>
      <c r="AQ20" s="32">
        <v>0.98744292237442921</v>
      </c>
      <c r="AR20" s="32">
        <v>0.98504027617951673</v>
      </c>
      <c r="AS20" s="32">
        <v>0.98509174311926606</v>
      </c>
      <c r="AT20" s="32">
        <v>0.98211820038240272</v>
      </c>
      <c r="AU20" s="32">
        <v>0.97811059907834097</v>
      </c>
      <c r="AV20" s="32">
        <v>0.99083619702176406</v>
      </c>
      <c r="AW20" s="32">
        <v>0.97371428571428575</v>
      </c>
      <c r="AX20" s="32">
        <v>0.96457142857142852</v>
      </c>
      <c r="AY20" s="32">
        <v>0.96781609195402296</v>
      </c>
      <c r="AZ20" s="32">
        <v>0.9873708381171068</v>
      </c>
      <c r="BA20" s="32">
        <v>0.98504027617951673</v>
      </c>
      <c r="BB20" s="32">
        <v>0.97820853094806659</v>
      </c>
      <c r="BC20" s="32">
        <v>0.96547756041426924</v>
      </c>
      <c r="BD20" s="32">
        <v>0.96807297605473208</v>
      </c>
      <c r="BE20" s="32">
        <v>0.96777905638665129</v>
      </c>
      <c r="BF20" s="32">
        <v>0.97716894977168944</v>
      </c>
      <c r="BG20" s="32">
        <v>0.97709049255441005</v>
      </c>
      <c r="BH20" s="32">
        <v>0.97126436781609193</v>
      </c>
      <c r="BI20" s="32">
        <v>0.97250859106529208</v>
      </c>
      <c r="BJ20" s="32">
        <v>0.97133742772330522</v>
      </c>
      <c r="BK20" s="32">
        <v>0.94566473988439304</v>
      </c>
      <c r="BL20" s="32">
        <v>0.96651270207852191</v>
      </c>
      <c r="BM20" s="32">
        <v>0.96326061997703794</v>
      </c>
      <c r="BN20" s="32">
        <v>0.98177676537585423</v>
      </c>
      <c r="BO20" s="32">
        <v>0.95934959349593496</v>
      </c>
      <c r="BP20" s="32">
        <v>0.92540792540792538</v>
      </c>
      <c r="BQ20" s="32">
        <v>0.9464493597206054</v>
      </c>
      <c r="BR20" s="32">
        <v>0.9554888151343246</v>
      </c>
      <c r="BS20" s="32">
        <v>0.96674311926605505</v>
      </c>
      <c r="BT20" s="32">
        <v>0.98634812286689422</v>
      </c>
      <c r="BU20" s="32">
        <v>0.97377423033067279</v>
      </c>
      <c r="BV20" s="32">
        <v>0.98295454545454541</v>
      </c>
      <c r="BW20" s="32">
        <v>0.96457142857142852</v>
      </c>
      <c r="BX20" s="32">
        <v>0.97594501718213056</v>
      </c>
      <c r="BY20" s="32">
        <v>0.96219931271477666</v>
      </c>
      <c r="BZ20" s="32">
        <v>0.97321939662664325</v>
      </c>
      <c r="CA20" s="32">
        <v>0.96674311926605505</v>
      </c>
      <c r="CB20" s="32">
        <v>0.98534385569334837</v>
      </c>
      <c r="CC20" s="32">
        <v>0.96004566210045661</v>
      </c>
      <c r="CD20" s="32">
        <v>0.98092031425364756</v>
      </c>
      <c r="CE20" s="32">
        <v>0.98104793756967668</v>
      </c>
      <c r="CF20" s="32">
        <v>0.98761261261261257</v>
      </c>
      <c r="CG20" s="32">
        <v>0.98768197088465848</v>
      </c>
      <c r="CH20" s="32">
        <v>0.97848506748292219</v>
      </c>
      <c r="CI20" s="32">
        <v>0.97772828507795095</v>
      </c>
      <c r="CJ20" s="32">
        <v>0.98210290827740487</v>
      </c>
      <c r="CK20" s="32">
        <v>0.9799777530589544</v>
      </c>
      <c r="CL20" s="32">
        <v>0.9854910714285714</v>
      </c>
      <c r="CM20" s="32">
        <v>0.97324414715719065</v>
      </c>
      <c r="CN20" s="32">
        <v>0.98645598194130923</v>
      </c>
      <c r="CO20" s="32">
        <v>0.98639455782312924</v>
      </c>
      <c r="CP20" s="32">
        <v>0.98162781496635876</v>
      </c>
      <c r="CQ20" s="32">
        <v>0.98092031425364756</v>
      </c>
      <c r="CR20" s="32">
        <v>0.98669623059866962</v>
      </c>
      <c r="CS20" s="32">
        <v>0.96996662958843161</v>
      </c>
      <c r="CT20" s="32">
        <v>0.98891352549889133</v>
      </c>
      <c r="CU20" s="32">
        <v>0.98233995584988965</v>
      </c>
      <c r="CV20" s="32">
        <v>0.97790055248618779</v>
      </c>
      <c r="CW20" s="32">
        <v>0.9823204419889503</v>
      </c>
      <c r="CX20" s="32">
        <v>0.98129395003780961</v>
      </c>
      <c r="CY20" s="32">
        <v>0.96321070234113715</v>
      </c>
      <c r="CZ20" s="32">
        <v>0.98787210584343987</v>
      </c>
      <c r="DA20" s="32">
        <v>0.95879732739420931</v>
      </c>
      <c r="DB20" s="32">
        <v>0.98015435501653803</v>
      </c>
      <c r="DC20" s="32">
        <v>0.98342541436464093</v>
      </c>
      <c r="DD20" s="32">
        <v>0.98561946902654862</v>
      </c>
      <c r="DE20" s="32">
        <v>0.99446902654867253</v>
      </c>
      <c r="DF20" s="32">
        <v>0.97907834293359808</v>
      </c>
      <c r="DG20" s="32">
        <v>0.95530726256983245</v>
      </c>
      <c r="DH20" s="32">
        <v>0.98444444444444446</v>
      </c>
      <c r="DI20" s="32">
        <v>0.95686719636776385</v>
      </c>
      <c r="DJ20" s="32">
        <v>0.96734234234234229</v>
      </c>
      <c r="DK20" s="32">
        <v>0.9732142857142857</v>
      </c>
      <c r="DL20" s="32">
        <v>0.98880179171332583</v>
      </c>
      <c r="DM20" s="32">
        <v>0.96636771300448432</v>
      </c>
      <c r="DN20" s="32">
        <v>0.97033500516521121</v>
      </c>
      <c r="DO20" s="32">
        <v>0.9470124013528749</v>
      </c>
      <c r="DP20" s="32">
        <v>0.97986577181208057</v>
      </c>
      <c r="DQ20" s="32">
        <v>0.95715896279594137</v>
      </c>
      <c r="DR20" s="32">
        <v>0.9743016759776536</v>
      </c>
      <c r="DS20" s="32">
        <v>0.9638418079096045</v>
      </c>
      <c r="DT20" s="32">
        <v>0.97194163860830529</v>
      </c>
      <c r="DU20" s="32">
        <v>0.98536036036036034</v>
      </c>
      <c r="DV20" s="32">
        <v>0.96849751697383135</v>
      </c>
      <c r="DW20" s="32">
        <v>0.97178329571106092</v>
      </c>
      <c r="DX20" s="32">
        <v>0.98202247191011238</v>
      </c>
      <c r="DY20" s="32">
        <v>0.96952595936794583</v>
      </c>
      <c r="DZ20" s="32">
        <v>0.98117386489479508</v>
      </c>
      <c r="EA20" s="32">
        <v>0.97747747747747749</v>
      </c>
      <c r="EB20" s="32">
        <v>0.9662921348314607</v>
      </c>
      <c r="EC20" s="32">
        <v>0.96300448430493268</v>
      </c>
      <c r="ED20" s="32">
        <v>0.97303995549968358</v>
      </c>
      <c r="EE20" s="32">
        <v>0.94597701149425284</v>
      </c>
      <c r="EF20" s="32">
        <v>0.9776785714285714</v>
      </c>
      <c r="EG20" s="32">
        <v>0.96202531645569622</v>
      </c>
      <c r="EH20" s="32">
        <v>0.98167239404352802</v>
      </c>
      <c r="EI20" s="32">
        <v>0.96254256526674231</v>
      </c>
      <c r="EJ20" s="32">
        <v>0.9843225083986562</v>
      </c>
      <c r="EK20" s="32">
        <v>0.9719101123595506</v>
      </c>
      <c r="EL20" s="32">
        <v>0.96944692563528534</v>
      </c>
    </row>
    <row r="21" spans="2:142" x14ac:dyDescent="0.25">
      <c r="F21" s="3"/>
      <c r="I21" s="19" t="s">
        <v>40</v>
      </c>
      <c r="J21" s="2">
        <v>927989</v>
      </c>
      <c r="K21" s="2">
        <v>882889</v>
      </c>
      <c r="L21" s="2">
        <v>1267696</v>
      </c>
      <c r="M21" s="2">
        <v>1195688</v>
      </c>
      <c r="N21" s="2">
        <v>1656431</v>
      </c>
      <c r="O21" s="2">
        <v>1570014</v>
      </c>
      <c r="P21" s="2">
        <v>1567317</v>
      </c>
      <c r="Q21" s="2">
        <v>1440999</v>
      </c>
      <c r="R21" s="2">
        <v>1344342</v>
      </c>
      <c r="S21" s="2">
        <v>1257960</v>
      </c>
      <c r="T21" s="2">
        <v>1220009</v>
      </c>
      <c r="U21" s="2">
        <v>1163062</v>
      </c>
      <c r="V21" s="2">
        <v>888171</v>
      </c>
      <c r="W21" s="2">
        <v>833423</v>
      </c>
      <c r="X21" s="2">
        <v>8871955</v>
      </c>
      <c r="Y21" s="2">
        <v>8344035</v>
      </c>
      <c r="AL21" s="19" t="s">
        <v>78</v>
      </c>
      <c r="AM21" s="32">
        <v>0.93453724604966137</v>
      </c>
      <c r="AN21" s="32">
        <v>0.98444444444444446</v>
      </c>
      <c r="AO21" s="32">
        <v>0.92093023255813955</v>
      </c>
      <c r="AP21" s="32">
        <v>0.93288590604026844</v>
      </c>
      <c r="AQ21" s="32">
        <v>0.97986577181208057</v>
      </c>
      <c r="AR21" s="32">
        <v>0.98896247240618107</v>
      </c>
      <c r="AS21" s="32">
        <v>0.98669623059866962</v>
      </c>
      <c r="AT21" s="32">
        <v>0.96118890055849204</v>
      </c>
      <c r="AU21" s="32">
        <v>0.96666666666666667</v>
      </c>
      <c r="AV21" s="32">
        <v>0.99080459770114937</v>
      </c>
      <c r="AW21" s="32">
        <v>0.9336283185840708</v>
      </c>
      <c r="AX21" s="32">
        <v>0.96943231441048039</v>
      </c>
      <c r="AY21" s="32">
        <v>0.98423423423423428</v>
      </c>
      <c r="AZ21" s="32">
        <v>0.97072072072072069</v>
      </c>
      <c r="BA21" s="32">
        <v>0.97272727272727277</v>
      </c>
      <c r="BB21" s="32">
        <v>0.96974487500637074</v>
      </c>
      <c r="BC21" s="32">
        <v>0.91796008869179602</v>
      </c>
      <c r="BD21" s="32">
        <v>0.98030634573304154</v>
      </c>
      <c r="BE21" s="32">
        <v>0.93877551020408168</v>
      </c>
      <c r="BF21" s="32">
        <v>0.92808988764044942</v>
      </c>
      <c r="BG21" s="32">
        <v>0.95768374164810688</v>
      </c>
      <c r="BH21" s="32">
        <v>0.97587719298245612</v>
      </c>
      <c r="BI21" s="32">
        <v>0.96035242290748901</v>
      </c>
      <c r="BJ21" s="32">
        <v>0.95129216997248867</v>
      </c>
      <c r="BK21" s="32">
        <v>0.94660194174757284</v>
      </c>
      <c r="BL21" s="32">
        <v>0.93271461716937354</v>
      </c>
      <c r="BM21" s="32">
        <v>0.94216867469879517</v>
      </c>
      <c r="BN21" s="32">
        <v>0.9741784037558685</v>
      </c>
      <c r="BO21" s="32">
        <v>0.96314496314496312</v>
      </c>
      <c r="BP21" s="32">
        <v>0.90594059405940597</v>
      </c>
      <c r="BQ21" s="32">
        <v>0.94059405940594054</v>
      </c>
      <c r="BR21" s="32">
        <v>0.94362046485455997</v>
      </c>
      <c r="BS21" s="32">
        <v>0.96728971962616828</v>
      </c>
      <c r="BT21" s="32">
        <v>0.97658079625292737</v>
      </c>
      <c r="BU21" s="32">
        <v>0.96519721577726214</v>
      </c>
      <c r="BV21" s="32">
        <v>0.97350993377483441</v>
      </c>
      <c r="BW21" s="32">
        <v>0.99766355140186913</v>
      </c>
      <c r="BX21" s="32">
        <v>0.96208530805687209</v>
      </c>
      <c r="BY21" s="32">
        <v>0.99287410926365793</v>
      </c>
      <c r="BZ21" s="32">
        <v>0.97645723345051316</v>
      </c>
      <c r="CA21" s="32">
        <v>0.97266514806378135</v>
      </c>
      <c r="CB21" s="32">
        <v>1</v>
      </c>
      <c r="CC21" s="32">
        <v>0.95662100456621002</v>
      </c>
      <c r="CD21" s="32">
        <v>0.97747747747747749</v>
      </c>
      <c r="CE21" s="32">
        <v>0.97571743929359822</v>
      </c>
      <c r="CF21" s="32">
        <v>0.98917748917748916</v>
      </c>
      <c r="CG21" s="32">
        <v>0.99783080260303691</v>
      </c>
      <c r="CH21" s="32">
        <v>0.98135562302594193</v>
      </c>
      <c r="CI21" s="32">
        <v>0.94017094017094016</v>
      </c>
      <c r="CJ21" s="32">
        <v>1</v>
      </c>
      <c r="CK21" s="32">
        <v>0.94793926247288507</v>
      </c>
      <c r="CL21" s="32">
        <v>1</v>
      </c>
      <c r="CM21" s="32">
        <v>0.98898678414096919</v>
      </c>
      <c r="CN21" s="32">
        <v>0.99544419134396356</v>
      </c>
      <c r="CO21" s="32">
        <v>0.99777777777777776</v>
      </c>
      <c r="CP21" s="32">
        <v>0.98147413655807647</v>
      </c>
      <c r="CQ21" s="32">
        <v>0.26361655773420478</v>
      </c>
      <c r="CR21" s="32">
        <v>0.97816593886462877</v>
      </c>
      <c r="CS21" s="32">
        <v>0.9186295503211992</v>
      </c>
      <c r="CT21" s="32">
        <v>0.95064377682403434</v>
      </c>
      <c r="CU21" s="32">
        <v>0.95217391304347831</v>
      </c>
      <c r="CV21" s="32">
        <v>0.97592997811816196</v>
      </c>
      <c r="CW21" s="32">
        <v>0.96491228070175439</v>
      </c>
      <c r="CX21" s="32">
        <v>0.8577245708010659</v>
      </c>
      <c r="CY21" s="32">
        <v>0.93258426966292129</v>
      </c>
      <c r="CZ21" s="32">
        <v>0.98706896551724133</v>
      </c>
      <c r="DA21" s="32">
        <v>0.92273730684326716</v>
      </c>
      <c r="DB21" s="32">
        <v>0.96247240618101548</v>
      </c>
      <c r="DC21" s="32">
        <v>0.98008849557522126</v>
      </c>
      <c r="DD21" s="32">
        <v>0.98249452954048144</v>
      </c>
      <c r="DE21" s="32">
        <v>0.97787610619469023</v>
      </c>
      <c r="DF21" s="32">
        <v>0.96361743993069116</v>
      </c>
      <c r="DG21" s="32">
        <v>0.92256637168141598</v>
      </c>
      <c r="DH21" s="32">
        <v>0.9493392070484582</v>
      </c>
      <c r="DI21" s="32">
        <v>0.93592677345537756</v>
      </c>
      <c r="DJ21" s="32">
        <v>0.97821350762527237</v>
      </c>
      <c r="DK21" s="32">
        <v>0.9804772234273319</v>
      </c>
      <c r="DL21" s="32">
        <v>0.97356828193832601</v>
      </c>
      <c r="DM21" s="32">
        <v>0.98233995584988965</v>
      </c>
      <c r="DN21" s="32">
        <v>0.96034733157515328</v>
      </c>
      <c r="DO21" s="32">
        <v>0.97142857142857142</v>
      </c>
      <c r="DP21" s="32">
        <v>0.94588744588744589</v>
      </c>
      <c r="DQ21" s="32">
        <v>0.94168466522678185</v>
      </c>
      <c r="DR21" s="32">
        <v>0.95343680709534373</v>
      </c>
      <c r="DS21" s="32">
        <v>0.99346405228758172</v>
      </c>
      <c r="DT21" s="32">
        <v>0.99347826086956526</v>
      </c>
      <c r="DU21" s="32">
        <v>0.97374179431072205</v>
      </c>
      <c r="DV21" s="32">
        <v>0.96758879958657307</v>
      </c>
      <c r="DW21" s="32">
        <v>0.93348115299334811</v>
      </c>
      <c r="DX21" s="32">
        <v>0.96963123644251625</v>
      </c>
      <c r="DY21" s="32">
        <v>0.91666666666666663</v>
      </c>
      <c r="DZ21" s="32">
        <v>0.98257080610021785</v>
      </c>
      <c r="EA21" s="32">
        <v>0.96902654867256632</v>
      </c>
      <c r="EB21" s="32">
        <v>0.98253275109170302</v>
      </c>
      <c r="EC21" s="32">
        <v>0.98684210526315785</v>
      </c>
      <c r="ED21" s="32">
        <v>0.96296446674716807</v>
      </c>
      <c r="EE21" s="32">
        <v>0.95394736842105265</v>
      </c>
      <c r="EF21" s="32">
        <v>0.98474945533769065</v>
      </c>
      <c r="EG21" s="32">
        <v>0.90772532188841204</v>
      </c>
      <c r="EH21" s="32">
        <v>0.97835497835497831</v>
      </c>
      <c r="EI21" s="32">
        <v>0.97807017543859653</v>
      </c>
      <c r="EJ21" s="32">
        <v>0.97821350762527237</v>
      </c>
      <c r="EK21" s="32">
        <v>0.98039215686274506</v>
      </c>
      <c r="EL21" s="32">
        <v>0.96592185198982106</v>
      </c>
    </row>
    <row r="22" spans="2:142" x14ac:dyDescent="0.25">
      <c r="B22" s="21"/>
      <c r="C22" s="21"/>
      <c r="D22" s="21"/>
      <c r="E22" s="21"/>
      <c r="F22" s="21"/>
      <c r="G22" s="21"/>
      <c r="AL22" s="19" t="s">
        <v>79</v>
      </c>
      <c r="AM22" s="32">
        <v>0.93241167434715821</v>
      </c>
      <c r="AN22" s="32">
        <v>0.94184168012924074</v>
      </c>
      <c r="AO22" s="32">
        <v>0.92615384615384611</v>
      </c>
      <c r="AP22" s="32">
        <v>0.92835365853658536</v>
      </c>
      <c r="AQ22" s="32">
        <v>0.93528505392912176</v>
      </c>
      <c r="AR22" s="32">
        <v>0.88262195121951215</v>
      </c>
      <c r="AS22" s="32">
        <v>0.89449541284403666</v>
      </c>
      <c r="AT22" s="32">
        <v>0.92016618245135728</v>
      </c>
      <c r="AU22" s="32">
        <v>0.93323216995447644</v>
      </c>
      <c r="AV22" s="32">
        <v>0.96200607902735558</v>
      </c>
      <c r="AW22" s="32">
        <v>0.93082706766917289</v>
      </c>
      <c r="AX22" s="32">
        <v>0.92537313432835822</v>
      </c>
      <c r="AY22" s="32">
        <v>0.9178082191780822</v>
      </c>
      <c r="AZ22" s="32">
        <v>0.95545314900153611</v>
      </c>
      <c r="BA22" s="32">
        <v>0.95884146341463417</v>
      </c>
      <c r="BB22" s="32">
        <v>0.9405058975105165</v>
      </c>
      <c r="BC22" s="32">
        <v>0.94135802469135799</v>
      </c>
      <c r="BD22" s="32">
        <v>0.93009118541033431</v>
      </c>
      <c r="BE22" s="32">
        <v>0.92713178294573639</v>
      </c>
      <c r="BF22" s="32">
        <v>0.95692307692307688</v>
      </c>
      <c r="BG22" s="32">
        <v>0.91603053435114501</v>
      </c>
      <c r="BH22" s="32">
        <v>0.9546142208774584</v>
      </c>
      <c r="BI22" s="32">
        <v>0.93874425727411948</v>
      </c>
      <c r="BJ22" s="32">
        <v>0.93784186892474686</v>
      </c>
      <c r="BK22" s="32">
        <v>0.93553459119496851</v>
      </c>
      <c r="BL22" s="32">
        <v>0.91021671826625383</v>
      </c>
      <c r="BM22" s="32">
        <v>0.91823899371069184</v>
      </c>
      <c r="BN22" s="32">
        <v>0.9381761978361669</v>
      </c>
      <c r="BO22" s="32">
        <v>0.91943127962085303</v>
      </c>
      <c r="BP22" s="32">
        <v>0.83254344391785151</v>
      </c>
      <c r="BQ22" s="32">
        <v>0.86075949367088611</v>
      </c>
      <c r="BR22" s="32">
        <v>0.90212867403109609</v>
      </c>
      <c r="BS22" s="32">
        <v>0.96504559270516721</v>
      </c>
      <c r="BT22" s="32">
        <v>0.94072948328267481</v>
      </c>
      <c r="BU22" s="32">
        <v>0.95317220543806647</v>
      </c>
      <c r="BV22" s="32">
        <v>0.95562130177514792</v>
      </c>
      <c r="BW22" s="32">
        <v>0.9482496194824962</v>
      </c>
      <c r="BX22" s="32">
        <v>0.9046153846153846</v>
      </c>
      <c r="BY22" s="32">
        <v>0.94171779141104295</v>
      </c>
      <c r="BZ22" s="32">
        <v>0.94416448267285435</v>
      </c>
      <c r="CA22" s="32">
        <v>0.94180704441041352</v>
      </c>
      <c r="CB22" s="32">
        <v>0.98053892215568861</v>
      </c>
      <c r="CC22" s="32">
        <v>0.95391705069124422</v>
      </c>
      <c r="CD22" s="32">
        <v>0.93797276853252642</v>
      </c>
      <c r="CE22" s="32">
        <v>0.95902883156297425</v>
      </c>
      <c r="CF22" s="32">
        <v>0.96530920060331826</v>
      </c>
      <c r="CG22" s="32">
        <v>0.95310136157337366</v>
      </c>
      <c r="CH22" s="32">
        <v>0.95595359707564853</v>
      </c>
      <c r="CI22" s="32">
        <v>0.9046153846153846</v>
      </c>
      <c r="CJ22" s="32">
        <v>0.94545454545454544</v>
      </c>
      <c r="CK22" s="32">
        <v>0.90307692307692311</v>
      </c>
      <c r="CL22" s="32">
        <v>0.90755007704160251</v>
      </c>
      <c r="CM22" s="32">
        <v>0.9339477726574501</v>
      </c>
      <c r="CN22" s="32">
        <v>0.94977168949771684</v>
      </c>
      <c r="CO22" s="32">
        <v>0.94656488549618323</v>
      </c>
      <c r="CP22" s="32">
        <v>0.9272830396914008</v>
      </c>
      <c r="CQ22" s="32">
        <v>0.86902927580893685</v>
      </c>
      <c r="CR22" s="32">
        <v>0.93855606758832566</v>
      </c>
      <c r="CS22" s="32">
        <v>0.87306501547987614</v>
      </c>
      <c r="CT22" s="32">
        <v>0.9024767801857585</v>
      </c>
      <c r="CU22" s="32">
        <v>0.9088050314465409</v>
      </c>
      <c r="CV22" s="32">
        <v>0.93855606758832566</v>
      </c>
      <c r="CW22" s="32">
        <v>0.89830508474576276</v>
      </c>
      <c r="CX22" s="32">
        <v>0.90411333183478948</v>
      </c>
      <c r="CY22" s="32">
        <v>0.88124999999999998</v>
      </c>
      <c r="CZ22" s="32">
        <v>0.8788819875776398</v>
      </c>
      <c r="DA22" s="32">
        <v>0.88437500000000002</v>
      </c>
      <c r="DB22" s="32">
        <v>0.92068429237947125</v>
      </c>
      <c r="DC22" s="32">
        <v>0.90595611285266453</v>
      </c>
      <c r="DD22" s="32">
        <v>0.90527950310559002</v>
      </c>
      <c r="DE22" s="32">
        <v>0.89655172413793105</v>
      </c>
      <c r="DF22" s="32">
        <v>0.8961398028647567</v>
      </c>
      <c r="DG22" s="32">
        <v>0.90378548895899058</v>
      </c>
      <c r="DH22" s="32">
        <v>0.9253499222395023</v>
      </c>
      <c r="DI22" s="32">
        <v>0.88328075709779175</v>
      </c>
      <c r="DJ22" s="32">
        <v>0.89779874213836475</v>
      </c>
      <c r="DK22" s="32">
        <v>0.9323899371069182</v>
      </c>
      <c r="DL22" s="32">
        <v>0.9285714285714286</v>
      </c>
      <c r="DM22" s="32">
        <v>0.92080745341614911</v>
      </c>
      <c r="DN22" s="32">
        <v>0.91314053278987795</v>
      </c>
      <c r="DO22" s="32">
        <v>0.94786729857819907</v>
      </c>
      <c r="DP22" s="32">
        <v>0.92331768388106417</v>
      </c>
      <c r="DQ22" s="32">
        <v>0.93593749999999998</v>
      </c>
      <c r="DR22" s="32">
        <v>0.9375</v>
      </c>
      <c r="DS22" s="32">
        <v>0.92746913580246915</v>
      </c>
      <c r="DT22" s="32">
        <v>0.91236306729264471</v>
      </c>
      <c r="DU22" s="32">
        <v>0.90923317683881066</v>
      </c>
      <c r="DV22" s="32">
        <v>0.9276696946275983</v>
      </c>
      <c r="DW22" s="32">
        <v>0.93663060278207111</v>
      </c>
      <c r="DX22" s="32">
        <v>0.94615384615384612</v>
      </c>
      <c r="DY22" s="32">
        <v>0.9320987654320988</v>
      </c>
      <c r="DZ22" s="32">
        <v>0.94135802469135799</v>
      </c>
      <c r="EA22" s="32">
        <v>0.94907407407407407</v>
      </c>
      <c r="EB22" s="32">
        <v>0.93930197268588767</v>
      </c>
      <c r="EC22" s="32">
        <v>0.95377503852080125</v>
      </c>
      <c r="ED22" s="32">
        <v>0.94262747490573395</v>
      </c>
      <c r="EE22" s="32">
        <v>0.95223420647149459</v>
      </c>
      <c r="EF22" s="32">
        <v>0.947209653092006</v>
      </c>
      <c r="EG22" s="32">
        <v>0.93108728943338437</v>
      </c>
      <c r="EH22" s="32">
        <v>0.9455370650529501</v>
      </c>
      <c r="EI22" s="32">
        <v>0.94848484848484849</v>
      </c>
      <c r="EJ22" s="32">
        <v>0.93787878787878787</v>
      </c>
      <c r="EK22" s="32">
        <v>0.93948562783661116</v>
      </c>
      <c r="EL22" s="32">
        <v>0.94313106832144034</v>
      </c>
    </row>
    <row r="23" spans="2:142" x14ac:dyDescent="0.25">
      <c r="B23" s="20"/>
      <c r="C23" s="20"/>
      <c r="D23" s="20"/>
      <c r="E23" s="20"/>
      <c r="F23" s="20"/>
      <c r="G23" s="20"/>
      <c r="AL23" s="19" t="s">
        <v>80</v>
      </c>
      <c r="AM23" s="32">
        <v>0.88807531380753135</v>
      </c>
      <c r="AN23" s="32">
        <v>0.93284365162644278</v>
      </c>
      <c r="AO23" s="32">
        <v>0.92706131078224097</v>
      </c>
      <c r="AP23" s="32">
        <v>0.93193717277486909</v>
      </c>
      <c r="AQ23" s="32">
        <v>0.94473409801876951</v>
      </c>
      <c r="AR23" s="32">
        <v>0.92058516196447226</v>
      </c>
      <c r="AS23" s="32">
        <v>0.9262720664589823</v>
      </c>
      <c r="AT23" s="32">
        <v>0.92450125363332969</v>
      </c>
      <c r="AU23" s="32">
        <v>0.9263932702418507</v>
      </c>
      <c r="AV23" s="32">
        <v>0.93514644351464438</v>
      </c>
      <c r="AW23" s="32">
        <v>0.91877637130801693</v>
      </c>
      <c r="AX23" s="32">
        <v>0.92152704135737007</v>
      </c>
      <c r="AY23" s="32">
        <v>0.92984293193717282</v>
      </c>
      <c r="AZ23" s="32">
        <v>0.95387840670859536</v>
      </c>
      <c r="BA23" s="32">
        <v>0.93186582809224316</v>
      </c>
      <c r="BB23" s="32">
        <v>0.93106147045141341</v>
      </c>
      <c r="BC23" s="32">
        <v>0.91134020618556699</v>
      </c>
      <c r="BD23" s="32">
        <v>0.95121951219512191</v>
      </c>
      <c r="BE23" s="32">
        <v>0.92066805845511479</v>
      </c>
      <c r="BF23" s="32">
        <v>0.92387904066736182</v>
      </c>
      <c r="BG23" s="32">
        <v>0.92901234567901236</v>
      </c>
      <c r="BH23" s="32">
        <v>0.94022289766970613</v>
      </c>
      <c r="BI23" s="32">
        <v>0.94111675126903549</v>
      </c>
      <c r="BJ23" s="32">
        <v>0.93106554458870272</v>
      </c>
      <c r="BK23" s="32">
        <v>0.8362877997914494</v>
      </c>
      <c r="BL23" s="32">
        <v>0.90342679127725856</v>
      </c>
      <c r="BM23" s="32">
        <v>0.89251844046364592</v>
      </c>
      <c r="BN23" s="32">
        <v>0.93913955928646375</v>
      </c>
      <c r="BO23" s="32">
        <v>0.80396246089676748</v>
      </c>
      <c r="BP23" s="32">
        <v>0.79516806722689071</v>
      </c>
      <c r="BQ23" s="32">
        <v>0.80443974630021142</v>
      </c>
      <c r="BR23" s="32">
        <v>0.85356326646324099</v>
      </c>
      <c r="BS23" s="32">
        <v>0.9135802469135802</v>
      </c>
      <c r="BT23" s="32">
        <v>0.9392378990731205</v>
      </c>
      <c r="BU23" s="32">
        <v>0.91786447638603696</v>
      </c>
      <c r="BV23" s="32">
        <v>0.95081967213114749</v>
      </c>
      <c r="BW23" s="32">
        <v>0.93482688391038693</v>
      </c>
      <c r="BX23" s="32">
        <v>0.90412371134020619</v>
      </c>
      <c r="BY23" s="32">
        <v>0.92466460268317852</v>
      </c>
      <c r="BZ23" s="32">
        <v>0.92644535606252243</v>
      </c>
      <c r="CA23" s="32">
        <v>0.95341614906832295</v>
      </c>
      <c r="CB23" s="32">
        <v>0.94994892747701731</v>
      </c>
      <c r="CC23" s="32">
        <v>0.9791013584117032</v>
      </c>
      <c r="CD23" s="32">
        <v>0.97494780793319413</v>
      </c>
      <c r="CE23" s="32">
        <v>0.96622313203684751</v>
      </c>
      <c r="CF23" s="32">
        <v>0.97034764826175868</v>
      </c>
      <c r="CG23" s="32">
        <v>0.96731358529111333</v>
      </c>
      <c r="CH23" s="32">
        <v>0.96589980121142249</v>
      </c>
      <c r="CI23" s="32">
        <v>0.92078189300411528</v>
      </c>
      <c r="CJ23" s="32">
        <v>0.95901639344262291</v>
      </c>
      <c r="CK23" s="32">
        <v>0.92700729927007297</v>
      </c>
      <c r="CL23" s="32">
        <v>0.92419522326064385</v>
      </c>
      <c r="CM23" s="32">
        <v>0.94380853277835586</v>
      </c>
      <c r="CN23" s="32">
        <v>0.95820591233435271</v>
      </c>
      <c r="CO23" s="32">
        <v>0.96707818930041156</v>
      </c>
      <c r="CP23" s="32">
        <v>0.94287049191293948</v>
      </c>
      <c r="CQ23" s="32">
        <v>0.90589451913133401</v>
      </c>
      <c r="CR23" s="32">
        <v>0.91598360655737709</v>
      </c>
      <c r="CS23" s="32">
        <v>0.90073145245559039</v>
      </c>
      <c r="CT23" s="32">
        <v>0.93200836820083677</v>
      </c>
      <c r="CU23" s="32">
        <v>0.92474226804123716</v>
      </c>
      <c r="CV23" s="32">
        <v>0.92061855670103088</v>
      </c>
      <c r="CW23" s="32">
        <v>0.93181818181818177</v>
      </c>
      <c r="CX23" s="32">
        <v>0.91882813612936975</v>
      </c>
      <c r="CY23" s="32">
        <v>0.91467221644120711</v>
      </c>
      <c r="CZ23" s="32">
        <v>0.93146417445482865</v>
      </c>
      <c r="DA23" s="32">
        <v>0.89561586638830892</v>
      </c>
      <c r="DB23" s="32">
        <v>0.91709844559585496</v>
      </c>
      <c r="DC23" s="32">
        <v>0.93403141361256548</v>
      </c>
      <c r="DD23" s="32">
        <v>0.94374999999999998</v>
      </c>
      <c r="DE23" s="32">
        <v>0.95268138801261826</v>
      </c>
      <c r="DF23" s="32">
        <v>0.92704478635791177</v>
      </c>
      <c r="DG23" s="32">
        <v>0.94364754098360659</v>
      </c>
      <c r="DH23" s="32">
        <v>0.93449334698055275</v>
      </c>
      <c r="DI23" s="32">
        <v>0.92443064182194612</v>
      </c>
      <c r="DJ23" s="32">
        <v>0.92893923789907307</v>
      </c>
      <c r="DK23" s="32">
        <v>0.94087665647298679</v>
      </c>
      <c r="DL23" s="32">
        <v>0.92849846782431056</v>
      </c>
      <c r="DM23" s="32">
        <v>0.93032786885245899</v>
      </c>
      <c r="DN23" s="32">
        <v>0.93303053726213336</v>
      </c>
      <c r="DO23" s="32">
        <v>0.90143737166324434</v>
      </c>
      <c r="DP23" s="32">
        <v>0.93604060913705589</v>
      </c>
      <c r="DQ23" s="32">
        <v>0.8849740932642487</v>
      </c>
      <c r="DR23" s="32">
        <v>0.88991769547325106</v>
      </c>
      <c r="DS23" s="32">
        <v>0.93018480492813138</v>
      </c>
      <c r="DT23" s="32">
        <v>0.94285714285714284</v>
      </c>
      <c r="DU23" s="32">
        <v>0.92032686414708886</v>
      </c>
      <c r="DV23" s="32">
        <v>0.91510551163859477</v>
      </c>
      <c r="DW23" s="32">
        <v>0.90985324947589097</v>
      </c>
      <c r="DX23" s="32">
        <v>0.90780141843971629</v>
      </c>
      <c r="DY23" s="32">
        <v>0.91754756871035936</v>
      </c>
      <c r="DZ23" s="32">
        <v>0.94625922023182296</v>
      </c>
      <c r="EA23" s="32">
        <v>0.92909280500521374</v>
      </c>
      <c r="EB23" s="32">
        <v>0.90676229508196726</v>
      </c>
      <c r="EC23" s="32">
        <v>0.92834890965732086</v>
      </c>
      <c r="ED23" s="32">
        <v>0.92080935237175587</v>
      </c>
      <c r="EE23" s="32">
        <v>0.92102454642475984</v>
      </c>
      <c r="EF23" s="32">
        <v>0.95331950207468885</v>
      </c>
      <c r="EG23" s="32">
        <v>0.89798087141339</v>
      </c>
      <c r="EH23" s="32">
        <v>0.89308176100628933</v>
      </c>
      <c r="EI23" s="32">
        <v>0.94161358811040341</v>
      </c>
      <c r="EJ23" s="32">
        <v>0.94333683105981114</v>
      </c>
      <c r="EK23" s="32">
        <v>0.93544973544973542</v>
      </c>
      <c r="EL23" s="32">
        <v>0.92654383364843973</v>
      </c>
    </row>
    <row r="24" spans="2:142" x14ac:dyDescent="0.25">
      <c r="B24" s="20"/>
      <c r="C24" s="20"/>
      <c r="D24" s="20"/>
      <c r="E24" s="20"/>
      <c r="F24" s="20"/>
      <c r="G24" s="20"/>
      <c r="AL24" s="19" t="s">
        <v>81</v>
      </c>
      <c r="AM24" s="32">
        <v>0.98195876288659789</v>
      </c>
      <c r="AN24" s="32">
        <v>0.98739495798319332</v>
      </c>
      <c r="AO24" s="32">
        <v>0.97857142857142854</v>
      </c>
      <c r="AP24" s="32">
        <v>0.99580419580419577</v>
      </c>
      <c r="AQ24" s="32">
        <v>0.98730606488011285</v>
      </c>
      <c r="AR24" s="32">
        <v>0.99011299435028244</v>
      </c>
      <c r="AS24" s="32">
        <v>0.99435028248587576</v>
      </c>
      <c r="AT24" s="32">
        <v>0.98792838385166959</v>
      </c>
      <c r="AU24" s="32">
        <v>0.44680851063829785</v>
      </c>
      <c r="AV24" s="32">
        <v>0.99720279720279725</v>
      </c>
      <c r="AW24" s="32">
        <v>0.45661450924608821</v>
      </c>
      <c r="AX24" s="32">
        <v>0.99007092198581559</v>
      </c>
      <c r="AY24" s="32">
        <v>0.98734177215189878</v>
      </c>
      <c r="AZ24" s="32">
        <v>0.99580419580419577</v>
      </c>
      <c r="BA24" s="32">
        <v>0.99580419580419577</v>
      </c>
      <c r="BB24" s="32">
        <v>0.83852098611904136</v>
      </c>
      <c r="BC24" s="32">
        <v>0.95833333333333337</v>
      </c>
      <c r="BD24" s="32">
        <v>0.99432624113475176</v>
      </c>
      <c r="BE24" s="32">
        <v>0.97289586305278175</v>
      </c>
      <c r="BF24" s="32">
        <v>0.97860199714693297</v>
      </c>
      <c r="BG24" s="32">
        <v>0.9527896995708155</v>
      </c>
      <c r="BH24" s="32">
        <v>0.96897038081805364</v>
      </c>
      <c r="BI24" s="32">
        <v>0.97439544807965861</v>
      </c>
      <c r="BJ24" s="32">
        <v>0.97147328044804682</v>
      </c>
      <c r="BK24" s="32">
        <v>0.97130559540889527</v>
      </c>
      <c r="BL24" s="32">
        <v>0.95079594790159194</v>
      </c>
      <c r="BM24" s="32">
        <v>0.97242380261248185</v>
      </c>
      <c r="BN24" s="32">
        <v>0.96952104499274305</v>
      </c>
      <c r="BO24" s="32">
        <v>0.96198830409356728</v>
      </c>
      <c r="BP24" s="32">
        <v>0.92690058479532167</v>
      </c>
      <c r="BQ24" s="32">
        <v>0.93421052631578949</v>
      </c>
      <c r="BR24" s="32">
        <v>0.95530654373148427</v>
      </c>
      <c r="BS24" s="32">
        <v>0.97687861271676302</v>
      </c>
      <c r="BT24" s="32">
        <v>0.98283261802575106</v>
      </c>
      <c r="BU24" s="32">
        <v>0.98565279770444758</v>
      </c>
      <c r="BV24" s="32">
        <v>0.98565279770444758</v>
      </c>
      <c r="BW24" s="32">
        <v>0.99854862119013066</v>
      </c>
      <c r="BX24" s="32">
        <v>0.99141630901287559</v>
      </c>
      <c r="BY24" s="32">
        <v>0.98548621190130625</v>
      </c>
      <c r="BZ24" s="32">
        <v>0.98663828117938868</v>
      </c>
      <c r="CA24" s="32">
        <v>0.98142857142857143</v>
      </c>
      <c r="CB24" s="32">
        <v>0.98565279770444758</v>
      </c>
      <c r="CC24" s="32">
        <v>0.99283667621776506</v>
      </c>
      <c r="CD24" s="32">
        <v>0.99283667621776506</v>
      </c>
      <c r="CE24" s="32">
        <v>0.98565279770444758</v>
      </c>
      <c r="CF24" s="32">
        <v>0.98565279770444758</v>
      </c>
      <c r="CG24" s="32">
        <v>0.98565279770444758</v>
      </c>
      <c r="CH24" s="32">
        <v>0.98710187352598455</v>
      </c>
      <c r="CI24" s="32">
        <v>0.99283667621776506</v>
      </c>
      <c r="CJ24" s="32">
        <v>0.99283667621776506</v>
      </c>
      <c r="CK24" s="32">
        <v>0.98433048433048431</v>
      </c>
      <c r="CL24" s="32">
        <v>0.88176638176638178</v>
      </c>
      <c r="CM24" s="32">
        <v>0.99283667621776506</v>
      </c>
      <c r="CN24" s="32">
        <v>0.99283667621776506</v>
      </c>
      <c r="CO24" s="32">
        <v>0.99283667621776506</v>
      </c>
      <c r="CP24" s="32">
        <v>0.97575432102652726</v>
      </c>
      <c r="CQ24" s="32">
        <v>0.98575498575498577</v>
      </c>
      <c r="CR24" s="32">
        <v>0.87464387464387461</v>
      </c>
      <c r="CS24" s="32">
        <v>0.96033994334277617</v>
      </c>
      <c r="CT24" s="32">
        <v>0.9815864022662889</v>
      </c>
      <c r="CU24" s="32">
        <v>0.86609686609686609</v>
      </c>
      <c r="CV24" s="32">
        <v>0.87179487179487181</v>
      </c>
      <c r="CW24" s="32">
        <v>0.87321937321937326</v>
      </c>
      <c r="CX24" s="32">
        <v>0.91620518815986229</v>
      </c>
      <c r="CY24" s="32">
        <v>0.97635605006954107</v>
      </c>
      <c r="CZ24" s="32">
        <v>0.97592067988668552</v>
      </c>
      <c r="DA24" s="32">
        <v>0.99300699300699302</v>
      </c>
      <c r="DB24" s="32">
        <v>0.9820193637621023</v>
      </c>
      <c r="DC24" s="32">
        <v>0.95297372060857533</v>
      </c>
      <c r="DD24" s="32">
        <v>0.97592067988668552</v>
      </c>
      <c r="DE24" s="32">
        <v>0.97179125528913968</v>
      </c>
      <c r="DF24" s="32">
        <v>0.97542696321567479</v>
      </c>
      <c r="DG24" s="32">
        <v>0.9648876404494382</v>
      </c>
      <c r="DH24" s="32">
        <v>0.9820193637621023</v>
      </c>
      <c r="DI24" s="32">
        <v>0.97179125528913968</v>
      </c>
      <c r="DJ24" s="32">
        <v>0.98870056497175141</v>
      </c>
      <c r="DK24" s="32">
        <v>0.9820193637621023</v>
      </c>
      <c r="DL24" s="32">
        <v>0.9820193637621023</v>
      </c>
      <c r="DM24" s="32">
        <v>0.9820193637621023</v>
      </c>
      <c r="DN24" s="32">
        <v>0.97906527367981977</v>
      </c>
      <c r="DO24" s="32">
        <v>0.96078431372549022</v>
      </c>
      <c r="DP24" s="32">
        <v>0.97457627118644063</v>
      </c>
      <c r="DQ24" s="32">
        <v>0.97206703910614523</v>
      </c>
      <c r="DR24" s="32">
        <v>0.97206703910614523</v>
      </c>
      <c r="DS24" s="32">
        <v>0.97457627118644063</v>
      </c>
      <c r="DT24" s="32">
        <v>0.97457627118644063</v>
      </c>
      <c r="DU24" s="32">
        <v>0.97457627118644063</v>
      </c>
      <c r="DV24" s="32">
        <v>0.97188906809764897</v>
      </c>
      <c r="DW24" s="32">
        <v>0.9463276836158192</v>
      </c>
      <c r="DX24" s="32">
        <v>0.97206703910614523</v>
      </c>
      <c r="DY24" s="32">
        <v>0.96901408450704229</v>
      </c>
      <c r="DZ24" s="32">
        <v>0.96901408450704229</v>
      </c>
      <c r="EA24" s="32">
        <v>0.92178770949720668</v>
      </c>
      <c r="EB24" s="32">
        <v>0.97206703910614523</v>
      </c>
      <c r="EC24" s="32">
        <v>0.97206703910614523</v>
      </c>
      <c r="ED24" s="32">
        <v>0.96033495420650661</v>
      </c>
      <c r="EE24" s="32">
        <v>0.98041958041958044</v>
      </c>
      <c r="EF24" s="32">
        <v>0.95159059474412167</v>
      </c>
      <c r="EG24" s="32">
        <v>0.9706293706293706</v>
      </c>
      <c r="EH24" s="32">
        <v>0.9706293706293706</v>
      </c>
      <c r="EI24" s="32" t="e">
        <v>#NUM!</v>
      </c>
      <c r="EJ24" s="32" t="e">
        <v>#NUM!</v>
      </c>
      <c r="EK24" s="32" t="e">
        <v>#NUM!</v>
      </c>
      <c r="EL24" s="32" t="e">
        <v>#NUM!</v>
      </c>
    </row>
    <row r="25" spans="2:142" x14ac:dyDescent="0.25">
      <c r="B25" s="20"/>
      <c r="C25" s="20"/>
      <c r="D25" s="20"/>
      <c r="E25" s="20"/>
      <c r="F25" s="20"/>
      <c r="G25" s="20"/>
      <c r="AL25" s="19" t="s">
        <v>82</v>
      </c>
      <c r="AM25" s="32">
        <v>0.94095238095238098</v>
      </c>
      <c r="AN25" s="32">
        <v>0.99632352941176472</v>
      </c>
      <c r="AO25" s="32">
        <v>0.96317829457364346</v>
      </c>
      <c r="AP25" s="32">
        <v>0.98464491362763917</v>
      </c>
      <c r="AQ25" s="32">
        <v>0.96435272045028142</v>
      </c>
      <c r="AR25" s="32">
        <v>0.99072356215213353</v>
      </c>
      <c r="AS25" s="32">
        <v>0.96441947565543074</v>
      </c>
      <c r="AT25" s="32">
        <v>0.97208498240332475</v>
      </c>
      <c r="AU25" s="32">
        <v>0.97142857142857142</v>
      </c>
      <c r="AV25" s="32">
        <v>0.98336414048059151</v>
      </c>
      <c r="AW25" s="32">
        <v>0.96564885496183206</v>
      </c>
      <c r="AX25" s="32">
        <v>0.98496240601503759</v>
      </c>
      <c r="AY25" s="32">
        <v>0.9719626168224299</v>
      </c>
      <c r="AZ25" s="32">
        <v>0.99084249084249088</v>
      </c>
      <c r="BA25" s="32">
        <v>0.97744360902255634</v>
      </c>
      <c r="BB25" s="32">
        <v>0.97795038422478708</v>
      </c>
      <c r="BC25" s="32">
        <v>0.93269230769230771</v>
      </c>
      <c r="BD25" s="32">
        <v>0.98490566037735849</v>
      </c>
      <c r="BE25" s="32">
        <v>0.94390715667311409</v>
      </c>
      <c r="BF25" s="32">
        <v>0.95428571428571429</v>
      </c>
      <c r="BG25" s="32">
        <v>0.94486692015209128</v>
      </c>
      <c r="BH25" s="32">
        <v>0.97373358348968109</v>
      </c>
      <c r="BI25" s="32">
        <v>0.95769230769230773</v>
      </c>
      <c r="BJ25" s="32">
        <v>0.9560119500517964</v>
      </c>
      <c r="BK25" s="32">
        <v>0.94444444444444442</v>
      </c>
      <c r="BL25" s="32">
        <v>0.90909090909090906</v>
      </c>
      <c r="BM25" s="32">
        <v>0.95547309833024119</v>
      </c>
      <c r="BN25" s="32">
        <v>0.97974217311233891</v>
      </c>
      <c r="BO25" s="32">
        <v>0.96037735849056605</v>
      </c>
      <c r="BP25" s="32">
        <v>0.88030888030888033</v>
      </c>
      <c r="BQ25" s="32">
        <v>0.90366088631984587</v>
      </c>
      <c r="BR25" s="32">
        <v>0.93329967858531793</v>
      </c>
      <c r="BS25" s="32">
        <v>0.97627737226277367</v>
      </c>
      <c r="BT25" s="32">
        <v>0.96146788990825693</v>
      </c>
      <c r="BU25" s="32">
        <v>0.94265232974910396</v>
      </c>
      <c r="BV25" s="32">
        <v>0.95683453237410077</v>
      </c>
      <c r="BW25" s="32">
        <v>0.9927140255009107</v>
      </c>
      <c r="BX25" s="32">
        <v>0.97588126159554733</v>
      </c>
      <c r="BY25" s="32">
        <v>0.98185117967332125</v>
      </c>
      <c r="BZ25" s="32">
        <v>0.96966837015200213</v>
      </c>
      <c r="CA25" s="32">
        <v>0.96785714285714286</v>
      </c>
      <c r="CB25" s="32">
        <v>0.98204667863554762</v>
      </c>
      <c r="CC25" s="32">
        <v>0.9733096085409253</v>
      </c>
      <c r="CD25" s="32">
        <v>0.98409893992932862</v>
      </c>
      <c r="CE25" s="32">
        <v>0.97632058287795997</v>
      </c>
      <c r="CF25" s="32">
        <v>0.99094202898550721</v>
      </c>
      <c r="CG25" s="32">
        <v>0.98357664233576647</v>
      </c>
      <c r="CH25" s="32">
        <v>0.9797359463088825</v>
      </c>
      <c r="CI25" s="32">
        <v>0.97703180212014129</v>
      </c>
      <c r="CJ25" s="32">
        <v>0.98028673835125446</v>
      </c>
      <c r="CK25" s="32">
        <v>0.97857142857142854</v>
      </c>
      <c r="CL25" s="32">
        <v>0.97530864197530864</v>
      </c>
      <c r="CM25" s="32">
        <v>0.9804270462633452</v>
      </c>
      <c r="CN25" s="32">
        <v>0.9748653500897666</v>
      </c>
      <c r="CO25" s="32">
        <v>0.97297297297297303</v>
      </c>
      <c r="CP25" s="32">
        <v>0.97706628290631681</v>
      </c>
      <c r="CQ25" s="32">
        <v>0.93513513513513513</v>
      </c>
      <c r="CR25" s="32">
        <v>0.9751332149200711</v>
      </c>
      <c r="CS25" s="32">
        <v>0.91756272401433692</v>
      </c>
      <c r="CT25" s="32">
        <v>0.98738738738738741</v>
      </c>
      <c r="CU25" s="32">
        <v>0.94954954954954951</v>
      </c>
      <c r="CV25" s="32">
        <v>0.96576576576576578</v>
      </c>
      <c r="CW25" s="32">
        <v>0.94096601073345254</v>
      </c>
      <c r="CX25" s="32">
        <v>0.95307139821509967</v>
      </c>
      <c r="CY25" s="32">
        <v>0.91187050359712229</v>
      </c>
      <c r="CZ25" s="32">
        <v>0.98378378378378384</v>
      </c>
      <c r="DA25" s="32">
        <v>0.94424460431654678</v>
      </c>
      <c r="DB25" s="32">
        <v>0.96594982078853042</v>
      </c>
      <c r="DC25" s="32">
        <v>0.96936936936936935</v>
      </c>
      <c r="DD25" s="32">
        <v>0.9748653500897666</v>
      </c>
      <c r="DE25" s="32">
        <v>0.96036036036036032</v>
      </c>
      <c r="DF25" s="32">
        <v>0.9586348274722114</v>
      </c>
      <c r="DG25" s="32">
        <v>0.928698752228164</v>
      </c>
      <c r="DH25" s="32">
        <v>0.9731182795698925</v>
      </c>
      <c r="DI25" s="32">
        <v>0.9554367201426025</v>
      </c>
      <c r="DJ25" s="32">
        <v>0.9732620320855615</v>
      </c>
      <c r="DK25" s="32">
        <v>0.97147950089126556</v>
      </c>
      <c r="DL25" s="32">
        <v>0.9554367201426025</v>
      </c>
      <c r="DM25" s="32">
        <v>0.95503597122302153</v>
      </c>
      <c r="DN25" s="32">
        <v>0.95892399661187278</v>
      </c>
      <c r="DO25" s="32">
        <v>0.91697416974169743</v>
      </c>
      <c r="DP25" s="32">
        <v>0.96975088967971534</v>
      </c>
      <c r="DQ25" s="32">
        <v>0.87800369685767099</v>
      </c>
      <c r="DR25" s="32">
        <v>0.9013035381750466</v>
      </c>
      <c r="DS25" s="32">
        <v>0.96857670979667287</v>
      </c>
      <c r="DT25" s="32">
        <v>0.94306049822064053</v>
      </c>
      <c r="DU25" s="32">
        <v>0.93795620437956206</v>
      </c>
      <c r="DV25" s="32">
        <v>0.93080367240728645</v>
      </c>
      <c r="DW25" s="32">
        <v>0.89224952741020791</v>
      </c>
      <c r="DX25" s="32">
        <v>0.93808630393996251</v>
      </c>
      <c r="DY25" s="32">
        <v>0.87286527514231504</v>
      </c>
      <c r="DZ25" s="32">
        <v>0.93632958801498123</v>
      </c>
      <c r="EA25" s="32">
        <v>0.89583333333333337</v>
      </c>
      <c r="EB25" s="32">
        <v>0.93843283582089554</v>
      </c>
      <c r="EC25" s="32">
        <v>0.90960451977401124</v>
      </c>
      <c r="ED25" s="32">
        <v>0.9119144833479581</v>
      </c>
      <c r="EE25" s="32">
        <v>0.95066413662239091</v>
      </c>
      <c r="EF25" s="32">
        <v>0.94824399260628467</v>
      </c>
      <c r="EG25" s="32">
        <v>0.94915254237288138</v>
      </c>
      <c r="EH25" s="32">
        <v>0.97047970479704793</v>
      </c>
      <c r="EI25" s="32">
        <v>0.95463137996219283</v>
      </c>
      <c r="EJ25" s="32">
        <v>0.94161958568738224</v>
      </c>
      <c r="EK25" s="32">
        <v>0.95094339622641511</v>
      </c>
      <c r="EL25" s="32">
        <v>0.95224781975351358</v>
      </c>
    </row>
    <row r="26" spans="2:142" x14ac:dyDescent="0.25">
      <c r="B26" s="20"/>
      <c r="C26" s="20"/>
      <c r="D26" s="20"/>
      <c r="E26" s="20"/>
      <c r="F26" s="20"/>
      <c r="G26" s="20"/>
      <c r="AL26" s="19" t="s">
        <v>83</v>
      </c>
      <c r="AM26" s="32">
        <v>0.96969696969696972</v>
      </c>
      <c r="AN26" s="32">
        <v>0.98275862068965514</v>
      </c>
      <c r="AO26" s="32">
        <v>0.97844827586206895</v>
      </c>
      <c r="AP26" s="32">
        <v>0.96760259179265662</v>
      </c>
      <c r="AQ26" s="32">
        <v>0.97619047619047616</v>
      </c>
      <c r="AR26" s="32">
        <v>0.99572649572649574</v>
      </c>
      <c r="AS26" s="32">
        <v>0.92291220556745179</v>
      </c>
      <c r="AT26" s="32">
        <v>0.97047651936082491</v>
      </c>
      <c r="AU26" s="32">
        <v>0.96602972399150744</v>
      </c>
      <c r="AV26" s="32">
        <v>0.989247311827957</v>
      </c>
      <c r="AW26" s="32">
        <v>0.82226980728051391</v>
      </c>
      <c r="AX26" s="32">
        <v>0.98301486199575372</v>
      </c>
      <c r="AY26" s="32">
        <v>0.98089171974522293</v>
      </c>
      <c r="AZ26" s="32">
        <v>0.98929336188436834</v>
      </c>
      <c r="BA26" s="32">
        <v>0.99143468950749469</v>
      </c>
      <c r="BB26" s="32">
        <v>0.96031163946183107</v>
      </c>
      <c r="BC26" s="32">
        <v>0.96498905908096277</v>
      </c>
      <c r="BD26" s="32">
        <v>0.99159663865546221</v>
      </c>
      <c r="BE26" s="32">
        <v>0.96375266524520253</v>
      </c>
      <c r="BF26" s="32">
        <v>0.85319148936170208</v>
      </c>
      <c r="BG26" s="32">
        <v>0.97008547008547008</v>
      </c>
      <c r="BH26" s="32">
        <v>0.97473684210526312</v>
      </c>
      <c r="BI26" s="32">
        <v>0.98294243070362475</v>
      </c>
      <c r="BJ26" s="32">
        <v>0.9573277993196696</v>
      </c>
      <c r="BK26" s="32">
        <v>0.97634408602150535</v>
      </c>
      <c r="BL26" s="32">
        <v>0.95726495726495731</v>
      </c>
      <c r="BM26" s="32">
        <v>0.96989247311827953</v>
      </c>
      <c r="BN26" s="32">
        <v>0.97452229299363058</v>
      </c>
      <c r="BO26" s="32">
        <v>0.98927038626609443</v>
      </c>
      <c r="BP26" s="32">
        <v>0.88961038961038963</v>
      </c>
      <c r="BQ26" s="32">
        <v>0.94827586206896552</v>
      </c>
      <c r="BR26" s="32">
        <v>0.95788292104911743</v>
      </c>
      <c r="BS26" s="32">
        <v>0.96982758620689657</v>
      </c>
      <c r="BT26" s="32">
        <v>0.98089171974522293</v>
      </c>
      <c r="BU26" s="32">
        <v>0.97402597402597402</v>
      </c>
      <c r="BV26" s="32">
        <v>0.96390658174097665</v>
      </c>
      <c r="BW26" s="32">
        <v>0.96808510638297873</v>
      </c>
      <c r="BX26" s="32">
        <v>0.96808510638297873</v>
      </c>
      <c r="BY26" s="32">
        <v>0.9786324786324786</v>
      </c>
      <c r="BZ26" s="32">
        <v>0.97192207901678651</v>
      </c>
      <c r="CA26" s="32">
        <v>0.95127118644067798</v>
      </c>
      <c r="CB26" s="32">
        <v>0.96610169491525422</v>
      </c>
      <c r="CC26" s="32">
        <v>0.96760259179265662</v>
      </c>
      <c r="CD26" s="32">
        <v>0.95329087048832273</v>
      </c>
      <c r="CE26" s="32">
        <v>0.96602972399150744</v>
      </c>
      <c r="CF26" s="32">
        <v>0.97457627118644063</v>
      </c>
      <c r="CG26" s="32">
        <v>0.97674418604651159</v>
      </c>
      <c r="CH26" s="32">
        <v>0.96508807498019589</v>
      </c>
      <c r="CI26" s="32">
        <v>0.96822033898305082</v>
      </c>
      <c r="CJ26" s="32">
        <v>0.95338983050847459</v>
      </c>
      <c r="CK26" s="32">
        <v>0.96828752642706128</v>
      </c>
      <c r="CL26" s="32">
        <v>0.97046413502109707</v>
      </c>
      <c r="CM26" s="32">
        <v>0.9576271186440678</v>
      </c>
      <c r="CN26" s="32">
        <v>0.94291754756871038</v>
      </c>
      <c r="CO26" s="32">
        <v>0.9576271186440678</v>
      </c>
      <c r="CP26" s="32">
        <v>0.95979051654236147</v>
      </c>
      <c r="CQ26" s="32">
        <v>0.97457627118644063</v>
      </c>
      <c r="CR26" s="32">
        <v>0.95348837209302328</v>
      </c>
      <c r="CS26" s="32">
        <v>0.9830866807610994</v>
      </c>
      <c r="CT26" s="32">
        <v>0.97251585623678649</v>
      </c>
      <c r="CU26" s="32">
        <v>0.9658848614072495</v>
      </c>
      <c r="CV26" s="32">
        <v>0.96367521367521369</v>
      </c>
      <c r="CW26" s="32">
        <v>0.95717344753747324</v>
      </c>
      <c r="CX26" s="32">
        <v>0.96720010041389792</v>
      </c>
      <c r="CY26" s="32">
        <v>0.94926004228329808</v>
      </c>
      <c r="CZ26" s="32">
        <v>0.95550847457627119</v>
      </c>
      <c r="DA26" s="32">
        <v>0.94514767932489452</v>
      </c>
      <c r="DB26" s="32">
        <v>0.95771670190274838</v>
      </c>
      <c r="DC26" s="32">
        <v>0.96602972399150744</v>
      </c>
      <c r="DD26" s="32">
        <v>0.95338983050847459</v>
      </c>
      <c r="DE26" s="32">
        <v>0.96617336152219868</v>
      </c>
      <c r="DF26" s="32">
        <v>0.95617511630134189</v>
      </c>
      <c r="DG26" s="32">
        <v>0.95329087048832273</v>
      </c>
      <c r="DH26" s="32">
        <v>0.96617336152219868</v>
      </c>
      <c r="DI26" s="32">
        <v>0.94479830148619959</v>
      </c>
      <c r="DJ26" s="32">
        <v>0.97040169133192389</v>
      </c>
      <c r="DK26" s="32">
        <v>0.95615866388308979</v>
      </c>
      <c r="DL26" s="32">
        <v>0.97251585623678649</v>
      </c>
      <c r="DM26" s="32">
        <v>0.95560253699788589</v>
      </c>
      <c r="DN26" s="32">
        <v>0.9598487545637725</v>
      </c>
      <c r="DO26" s="32">
        <v>0.97251585623678649</v>
      </c>
      <c r="DP26" s="32">
        <v>0.95771670190274838</v>
      </c>
      <c r="DQ26" s="32">
        <v>0.98097251585623679</v>
      </c>
      <c r="DR26" s="32">
        <v>0.985200845665962</v>
      </c>
      <c r="DS26" s="32">
        <v>0.97033898305084743</v>
      </c>
      <c r="DT26" s="32">
        <v>0.97040169133192389</v>
      </c>
      <c r="DU26" s="32">
        <v>0.97033898305084743</v>
      </c>
      <c r="DV26" s="32">
        <v>0.97249793958505049</v>
      </c>
      <c r="DW26" s="32">
        <v>0.95127118644067798</v>
      </c>
      <c r="DX26" s="32">
        <v>0.97251585623678649</v>
      </c>
      <c r="DY26" s="32">
        <v>0.94067796610169496</v>
      </c>
      <c r="DZ26" s="32">
        <v>0.95116772823779194</v>
      </c>
      <c r="EA26" s="32">
        <v>0.94926004228329808</v>
      </c>
      <c r="EB26" s="32">
        <v>0.97033898305084743</v>
      </c>
      <c r="EC26" s="32">
        <v>0.95771670190274838</v>
      </c>
      <c r="ED26" s="32">
        <v>0.95613549489340666</v>
      </c>
      <c r="EE26" s="32">
        <v>0.9454926624737946</v>
      </c>
      <c r="EF26" s="32">
        <v>0.91966173361522197</v>
      </c>
      <c r="EG26" s="32">
        <v>0.94692144373673037</v>
      </c>
      <c r="EH26" s="32">
        <v>0.97033898305084743</v>
      </c>
      <c r="EI26" s="32">
        <v>0.97027600849256901</v>
      </c>
      <c r="EJ26" s="32">
        <v>0.94915254237288138</v>
      </c>
      <c r="EK26" s="32">
        <v>0.93432203389830504</v>
      </c>
      <c r="EL26" s="32">
        <v>0.94802362966290732</v>
      </c>
    </row>
    <row r="27" spans="2:142" x14ac:dyDescent="0.25">
      <c r="B27" s="20"/>
      <c r="C27" s="20"/>
      <c r="D27" s="20"/>
      <c r="E27" s="20"/>
      <c r="F27" s="20"/>
      <c r="G27" s="20"/>
      <c r="AL27" s="19" t="s">
        <v>84</v>
      </c>
      <c r="AM27" s="32">
        <v>0.8677966101694915</v>
      </c>
      <c r="AN27" s="32">
        <v>0.90898748577929467</v>
      </c>
      <c r="AO27" s="32">
        <v>0.84519774011299431</v>
      </c>
      <c r="AP27" s="32">
        <v>0.84606866002214842</v>
      </c>
      <c r="AQ27" s="32">
        <v>0.89388696655132638</v>
      </c>
      <c r="AR27" s="32">
        <v>0.92377701934015932</v>
      </c>
      <c r="AS27" s="32">
        <v>0.92009132420091322</v>
      </c>
      <c r="AT27" s="32">
        <v>0.8865436865966182</v>
      </c>
      <c r="AU27" s="32">
        <v>0.8677966101694915</v>
      </c>
      <c r="AV27" s="32">
        <v>0.89853438556933485</v>
      </c>
      <c r="AW27" s="32">
        <v>0.84198645598194133</v>
      </c>
      <c r="AX27" s="32">
        <v>0.84916201117318435</v>
      </c>
      <c r="AY27" s="32">
        <v>0.90508474576271192</v>
      </c>
      <c r="AZ27" s="32">
        <v>0.90960451977401124</v>
      </c>
      <c r="BA27" s="32">
        <v>0.90384615384615385</v>
      </c>
      <c r="BB27" s="32">
        <v>0.88228784032526109</v>
      </c>
      <c r="BC27" s="32">
        <v>0.89635535307517089</v>
      </c>
      <c r="BD27" s="32">
        <v>0.91412429378531068</v>
      </c>
      <c r="BE27" s="32">
        <v>0.84389140271493213</v>
      </c>
      <c r="BF27" s="32">
        <v>0.85280898876404498</v>
      </c>
      <c r="BG27" s="32">
        <v>0.92542372881355928</v>
      </c>
      <c r="BH27" s="32">
        <v>0.92913385826771655</v>
      </c>
      <c r="BI27" s="32">
        <v>0.92713004484304928</v>
      </c>
      <c r="BJ27" s="32">
        <v>0.89840966718054049</v>
      </c>
      <c r="BK27" s="32">
        <v>0.80405405405405406</v>
      </c>
      <c r="BL27" s="32">
        <v>0.93470790378006874</v>
      </c>
      <c r="BM27" s="32">
        <v>0.80223463687150842</v>
      </c>
      <c r="BN27" s="32">
        <v>0.81188118811881194</v>
      </c>
      <c r="BO27" s="32">
        <v>0.78406466512702078</v>
      </c>
      <c r="BP27" s="32">
        <v>0.87528868360277134</v>
      </c>
      <c r="BQ27" s="32">
        <v>0.73696407879490156</v>
      </c>
      <c r="BR27" s="32">
        <v>0.82131360147844823</v>
      </c>
      <c r="BS27" s="32">
        <v>0.94628571428571429</v>
      </c>
      <c r="BT27" s="32">
        <v>0.93643586833144155</v>
      </c>
      <c r="BU27" s="32">
        <v>0.87727272727272732</v>
      </c>
      <c r="BV27" s="32">
        <v>0.87513812154696136</v>
      </c>
      <c r="BW27" s="32">
        <v>0.93778801843317972</v>
      </c>
      <c r="BX27" s="32">
        <v>0.91043083900226762</v>
      </c>
      <c r="BY27" s="32">
        <v>0.87442396313364057</v>
      </c>
      <c r="BZ27" s="32">
        <v>0.90825360742941896</v>
      </c>
      <c r="CA27" s="32">
        <v>0.92022471910112358</v>
      </c>
      <c r="CB27" s="32">
        <v>0.9330357142857143</v>
      </c>
      <c r="CC27" s="32">
        <v>0.85730088495575218</v>
      </c>
      <c r="CD27" s="32">
        <v>0.88008800880088012</v>
      </c>
      <c r="CE27" s="32">
        <v>0.94239631336405527</v>
      </c>
      <c r="CF27" s="32">
        <v>0.95292766934557982</v>
      </c>
      <c r="CG27" s="32">
        <v>0.97222222222222221</v>
      </c>
      <c r="CH27" s="32">
        <v>0.92259936172504664</v>
      </c>
      <c r="CI27" s="32">
        <v>0.89911308203991136</v>
      </c>
      <c r="CJ27" s="32">
        <v>0.91897891231964479</v>
      </c>
      <c r="CK27" s="32">
        <v>0.84361233480176212</v>
      </c>
      <c r="CL27" s="32">
        <v>0.86555555555555552</v>
      </c>
      <c r="CM27" s="32">
        <v>0.91101223581757507</v>
      </c>
      <c r="CN27" s="32">
        <v>0.9475446428571429</v>
      </c>
      <c r="CO27" s="32">
        <v>0.9330357142857143</v>
      </c>
      <c r="CP27" s="32">
        <v>0.90269321109675815</v>
      </c>
      <c r="CQ27" s="32">
        <v>0.90011223344556679</v>
      </c>
      <c r="CR27" s="32">
        <v>0.88241758241758239</v>
      </c>
      <c r="CS27" s="32">
        <v>0.85970819304152635</v>
      </c>
      <c r="CT27" s="32">
        <v>0.86199342825848846</v>
      </c>
      <c r="CU27" s="32">
        <v>0.90470723306544198</v>
      </c>
      <c r="CV27" s="32">
        <v>0.91222222222222227</v>
      </c>
      <c r="CW27" s="32">
        <v>0.90156599552572703</v>
      </c>
      <c r="CX27" s="32">
        <v>0.88896098399665069</v>
      </c>
      <c r="CY27" s="32">
        <v>0.90715883668903807</v>
      </c>
      <c r="CZ27" s="32">
        <v>0.89988998899889994</v>
      </c>
      <c r="DA27" s="32">
        <v>0.84222222222222221</v>
      </c>
      <c r="DB27" s="32">
        <v>0.8216630196936543</v>
      </c>
      <c r="DC27" s="32">
        <v>0.91582491582491588</v>
      </c>
      <c r="DD27" s="32">
        <v>0.89601769911504425</v>
      </c>
      <c r="DE27" s="32">
        <v>0.89775280898876408</v>
      </c>
      <c r="DF27" s="32">
        <v>0.88293278450464852</v>
      </c>
      <c r="DG27" s="32">
        <v>0.86696730552423906</v>
      </c>
      <c r="DH27" s="32">
        <v>0.90112359550561794</v>
      </c>
      <c r="DI27" s="32">
        <v>0.8087739032620922</v>
      </c>
      <c r="DJ27" s="32">
        <v>0.8322072072072072</v>
      </c>
      <c r="DK27" s="32">
        <v>0.89289740698985343</v>
      </c>
      <c r="DL27" s="32">
        <v>0.90257558790593506</v>
      </c>
      <c r="DM27" s="32">
        <v>0.89752252252252251</v>
      </c>
      <c r="DN27" s="32">
        <v>0.87172393270249537</v>
      </c>
      <c r="DO27" s="32">
        <v>0.87330316742081449</v>
      </c>
      <c r="DP27" s="32">
        <v>0.90514285714285714</v>
      </c>
      <c r="DQ27" s="32">
        <v>0.80089485458612975</v>
      </c>
      <c r="DR27" s="32">
        <v>0.81950672645739908</v>
      </c>
      <c r="DS27" s="32">
        <v>0.89426321709786272</v>
      </c>
      <c r="DT27" s="32">
        <v>0.90642615558060879</v>
      </c>
      <c r="DU27" s="32">
        <v>0.89189189189189189</v>
      </c>
      <c r="DV27" s="32">
        <v>0.87020412431108063</v>
      </c>
      <c r="DW27" s="32">
        <v>0.88613303269447574</v>
      </c>
      <c r="DX27" s="32">
        <v>0.8755656108597285</v>
      </c>
      <c r="DY27" s="32">
        <v>0.81263858093126384</v>
      </c>
      <c r="DZ27" s="32">
        <v>0.85620197585071345</v>
      </c>
      <c r="EA27" s="32">
        <v>0.87104072398190047</v>
      </c>
      <c r="EB27" s="32">
        <v>0.87005649717514122</v>
      </c>
      <c r="EC27" s="32">
        <v>0.8970588235294118</v>
      </c>
      <c r="ED27" s="32">
        <v>0.86695646357466216</v>
      </c>
      <c r="EE27" s="32">
        <v>0.87043189368770768</v>
      </c>
      <c r="EF27" s="32">
        <v>0.91601343784994405</v>
      </c>
      <c r="EG27" s="32">
        <v>0.82359426681367143</v>
      </c>
      <c r="EH27" s="32">
        <v>0.85382059800664456</v>
      </c>
      <c r="EI27" s="32">
        <v>0.92361111111111116</v>
      </c>
      <c r="EJ27" s="32">
        <v>0.93540945790080743</v>
      </c>
      <c r="EK27" s="32">
        <v>0.92041522491349481</v>
      </c>
      <c r="EL27" s="32">
        <v>0.89189942718334014</v>
      </c>
    </row>
    <row r="28" spans="2:142" x14ac:dyDescent="0.25">
      <c r="B28" s="20"/>
      <c r="C28" s="20"/>
      <c r="D28" s="20"/>
      <c r="E28" s="20"/>
      <c r="F28" s="20"/>
      <c r="G28" s="20"/>
      <c r="AL28" s="19" t="s">
        <v>85</v>
      </c>
      <c r="AM28" s="32">
        <v>0.99554565701559017</v>
      </c>
      <c r="AN28" s="32">
        <v>1</v>
      </c>
      <c r="AO28" s="32">
        <v>0.986784140969163</v>
      </c>
      <c r="AP28" s="32">
        <v>0.98920086393088558</v>
      </c>
      <c r="AQ28" s="32">
        <v>0.99781181619256021</v>
      </c>
      <c r="AR28" s="32">
        <v>1</v>
      </c>
      <c r="AS28" s="32">
        <v>0.9978213507625272</v>
      </c>
      <c r="AT28" s="32">
        <v>0.99530911841010372</v>
      </c>
      <c r="AU28" s="32">
        <v>0.99777282850779514</v>
      </c>
      <c r="AV28" s="32">
        <v>0.98709677419354835</v>
      </c>
      <c r="AW28" s="32">
        <v>0.99120879120879124</v>
      </c>
      <c r="AX28" s="32">
        <v>0.99128540305010893</v>
      </c>
      <c r="AY28" s="32">
        <v>0.97571743929359822</v>
      </c>
      <c r="AZ28" s="32">
        <v>0.99357601713062094</v>
      </c>
      <c r="BA28" s="32">
        <v>0.98468271334792123</v>
      </c>
      <c r="BB28" s="32">
        <v>0.98876285239034067</v>
      </c>
      <c r="BC28" s="32">
        <v>0.97995545657015593</v>
      </c>
      <c r="BD28" s="32">
        <v>1</v>
      </c>
      <c r="BE28" s="32">
        <v>0.99109131403118045</v>
      </c>
      <c r="BF28" s="32">
        <v>1</v>
      </c>
      <c r="BG28" s="32">
        <v>0.98910675381263613</v>
      </c>
      <c r="BH28" s="32">
        <v>0.99369747899159666</v>
      </c>
      <c r="BI28" s="32">
        <v>0.99564270152505452</v>
      </c>
      <c r="BJ28" s="32">
        <v>0.99278481499008908</v>
      </c>
      <c r="BK28" s="32">
        <v>0.97104677060133626</v>
      </c>
      <c r="BL28" s="32">
        <v>0.97802197802197799</v>
      </c>
      <c r="BM28" s="32">
        <v>0.96436525612472157</v>
      </c>
      <c r="BN28" s="32">
        <v>1</v>
      </c>
      <c r="BO28" s="32">
        <v>0.95604395604395609</v>
      </c>
      <c r="BP28" s="32">
        <v>0.89755011135857465</v>
      </c>
      <c r="BQ28" s="32">
        <v>0.93541202672605794</v>
      </c>
      <c r="BR28" s="32">
        <v>0.95749144269666064</v>
      </c>
      <c r="BS28" s="32">
        <v>0.98684210526315785</v>
      </c>
      <c r="BT28" s="32">
        <v>1</v>
      </c>
      <c r="BU28" s="32">
        <v>1</v>
      </c>
      <c r="BV28" s="32">
        <v>0.98726114649681529</v>
      </c>
      <c r="BW28" s="32">
        <v>0.9978213507625272</v>
      </c>
      <c r="BX28" s="32">
        <v>0.97772828507795095</v>
      </c>
      <c r="BY28" s="32">
        <v>0.98886414253897548</v>
      </c>
      <c r="BZ28" s="32">
        <v>0.99121671859134675</v>
      </c>
      <c r="CA28" s="32">
        <v>0.98034934497816595</v>
      </c>
      <c r="CB28" s="32">
        <v>0.98494623655913982</v>
      </c>
      <c r="CC28" s="32">
        <v>0.96017699115044253</v>
      </c>
      <c r="CD28" s="32">
        <v>0.97802197802197799</v>
      </c>
      <c r="CE28" s="32">
        <v>1</v>
      </c>
      <c r="CF28" s="32">
        <v>0.97844827586206895</v>
      </c>
      <c r="CG28" s="32">
        <v>0.98481561822125818</v>
      </c>
      <c r="CH28" s="32">
        <v>0.98096549211329331</v>
      </c>
      <c r="CI28" s="32">
        <v>0.98030634573304154</v>
      </c>
      <c r="CJ28" s="32">
        <v>0.98706896551724133</v>
      </c>
      <c r="CK28" s="32">
        <v>0.97550111358574609</v>
      </c>
      <c r="CL28" s="32">
        <v>0.97167755991285398</v>
      </c>
      <c r="CM28" s="32">
        <v>0.99780219780219781</v>
      </c>
      <c r="CN28" s="32">
        <v>0.98715203426124198</v>
      </c>
      <c r="CO28" s="32">
        <v>0.98910675381263613</v>
      </c>
      <c r="CP28" s="32">
        <v>0.98408785294642265</v>
      </c>
      <c r="CQ28" s="32">
        <v>0.99558498896247238</v>
      </c>
      <c r="CR28" s="32">
        <v>0.97619047619047616</v>
      </c>
      <c r="CS28" s="32">
        <v>1</v>
      </c>
      <c r="CT28" s="32">
        <v>0.98692810457516345</v>
      </c>
      <c r="CU28" s="32">
        <v>0.99558498896247238</v>
      </c>
      <c r="CV28" s="32">
        <v>0.98910675381263613</v>
      </c>
      <c r="CW28" s="32">
        <v>0.99116997792494477</v>
      </c>
      <c r="CX28" s="32">
        <v>0.99065218434688063</v>
      </c>
      <c r="CY28" s="32">
        <v>0.98901098901098905</v>
      </c>
      <c r="CZ28" s="32">
        <v>0.99363057324840764</v>
      </c>
      <c r="DA28" s="32">
        <v>0.98249452954048144</v>
      </c>
      <c r="DB28" s="32">
        <v>0.97835497835497831</v>
      </c>
      <c r="DC28" s="32">
        <v>0.99116997792494477</v>
      </c>
      <c r="DD28" s="32">
        <v>0.99143468950749469</v>
      </c>
      <c r="DE28" s="32">
        <v>1</v>
      </c>
      <c r="DF28" s="32">
        <v>0.98944224822675664</v>
      </c>
      <c r="DG28" s="32">
        <v>0.98886414253897548</v>
      </c>
      <c r="DH28" s="32">
        <v>0.97216274089935761</v>
      </c>
      <c r="DI28" s="32">
        <v>0.98013245033112584</v>
      </c>
      <c r="DJ28" s="32">
        <v>0.98481561822125818</v>
      </c>
      <c r="DK28" s="32">
        <v>0.99556541019955658</v>
      </c>
      <c r="DL28" s="32">
        <v>0.99784946236559136</v>
      </c>
      <c r="DM28" s="32">
        <v>0.99109131403118045</v>
      </c>
      <c r="DN28" s="32">
        <v>0.98721159122672086</v>
      </c>
      <c r="DO28" s="32">
        <v>0.97772828507795095</v>
      </c>
      <c r="DP28" s="32">
        <v>0.98698481561822127</v>
      </c>
      <c r="DQ28" s="32">
        <v>0.97772828507795095</v>
      </c>
      <c r="DR28" s="32">
        <v>0.99150743099787686</v>
      </c>
      <c r="DS28" s="32">
        <v>0.98687089715536103</v>
      </c>
      <c r="DT28" s="32">
        <v>0.98286937901498928</v>
      </c>
      <c r="DU28" s="32">
        <v>0.99344978165938869</v>
      </c>
      <c r="DV28" s="32">
        <v>0.98530555351453408</v>
      </c>
      <c r="DW28" s="32">
        <v>0.99558498896247238</v>
      </c>
      <c r="DX28" s="32">
        <v>1</v>
      </c>
      <c r="DY28" s="32">
        <v>0.99344978165938869</v>
      </c>
      <c r="DZ28" s="32">
        <v>0.99786324786324787</v>
      </c>
      <c r="EA28" s="32">
        <v>0.98454746136865345</v>
      </c>
      <c r="EB28" s="32">
        <v>0.99357601713062094</v>
      </c>
      <c r="EC28" s="32">
        <v>0.99113082039911304</v>
      </c>
      <c r="ED28" s="32">
        <v>0.99373604534049953</v>
      </c>
      <c r="EE28" s="32">
        <v>0.95100222717149219</v>
      </c>
      <c r="EF28" s="32">
        <v>1</v>
      </c>
      <c r="EG28" s="32">
        <v>0.95322939866369716</v>
      </c>
      <c r="EH28" s="32">
        <v>0.94408602150537635</v>
      </c>
      <c r="EI28" s="32">
        <v>0.96491228070175439</v>
      </c>
      <c r="EJ28" s="32">
        <v>0.98516949152542377</v>
      </c>
      <c r="EK28" s="32">
        <v>0.96943231441048039</v>
      </c>
      <c r="EL28" s="32">
        <v>0.96683310485403207</v>
      </c>
    </row>
    <row r="29" spans="2:142" x14ac:dyDescent="0.25">
      <c r="B29" s="20"/>
      <c r="C29" s="20"/>
      <c r="D29" s="20"/>
      <c r="E29" s="20"/>
      <c r="F29" s="20"/>
      <c r="G29" s="20"/>
      <c r="AL29" s="19" t="s">
        <v>86</v>
      </c>
      <c r="AM29" s="32">
        <v>0.95407098121085598</v>
      </c>
      <c r="AN29" s="32">
        <v>0.95390781563126248</v>
      </c>
      <c r="AO29" s="32">
        <v>0.95510204081632655</v>
      </c>
      <c r="AP29" s="32">
        <v>0.94117647058823528</v>
      </c>
      <c r="AQ29" s="32">
        <v>0.9402061855670103</v>
      </c>
      <c r="AR29" s="32">
        <v>0.95774647887323938</v>
      </c>
      <c r="AS29" s="32">
        <v>0.95528455284552849</v>
      </c>
      <c r="AT29" s="32">
        <v>0.95107064650463691</v>
      </c>
      <c r="AU29" s="32">
        <v>0.92015968063872255</v>
      </c>
      <c r="AV29" s="32">
        <v>0.97565922920892489</v>
      </c>
      <c r="AW29" s="32">
        <v>0.94433399602385681</v>
      </c>
      <c r="AX29" s="32">
        <v>0.95472440944881887</v>
      </c>
      <c r="AY29" s="32">
        <v>0.94047619047619047</v>
      </c>
      <c r="AZ29" s="32">
        <v>0.95454545454545459</v>
      </c>
      <c r="BA29" s="32">
        <v>0.94831013916500995</v>
      </c>
      <c r="BB29" s="32">
        <v>0.94831558564385399</v>
      </c>
      <c r="BC29" s="32">
        <v>0.93117408906882593</v>
      </c>
      <c r="BD29" s="32">
        <v>0.97047244094488194</v>
      </c>
      <c r="BE29" s="32">
        <v>0.91400000000000003</v>
      </c>
      <c r="BF29" s="32">
        <v>0.93213572854291415</v>
      </c>
      <c r="BG29" s="32">
        <v>0.93885601577909272</v>
      </c>
      <c r="BH29" s="32">
        <v>0.94117647058823528</v>
      </c>
      <c r="BI29" s="32">
        <v>0.95608782435129736</v>
      </c>
      <c r="BJ29" s="32">
        <v>0.94055750989646403</v>
      </c>
      <c r="BK29" s="32">
        <v>0.88032454361054768</v>
      </c>
      <c r="BL29" s="32">
        <v>0.93117408906882593</v>
      </c>
      <c r="BM29" s="32">
        <v>0.92629482071713143</v>
      </c>
      <c r="BN29" s="32">
        <v>0.90674603174603174</v>
      </c>
      <c r="BO29" s="32">
        <v>0.88367346938775515</v>
      </c>
      <c r="BP29" s="32">
        <v>0.80168776371308015</v>
      </c>
      <c r="BQ29" s="32">
        <v>0.84265010351966874</v>
      </c>
      <c r="BR29" s="32">
        <v>0.88179297453757732</v>
      </c>
      <c r="BS29" s="32">
        <v>0.94188376753507019</v>
      </c>
      <c r="BT29" s="32">
        <v>0.93110236220472442</v>
      </c>
      <c r="BU29" s="32">
        <v>0.90476190476190477</v>
      </c>
      <c r="BV29" s="32">
        <v>0.92996108949416345</v>
      </c>
      <c r="BW29" s="32">
        <v>0.91217564870259482</v>
      </c>
      <c r="BX29" s="32">
        <v>0.87975951903807614</v>
      </c>
      <c r="BY29" s="32">
        <v>0.9191321499013807</v>
      </c>
      <c r="BZ29" s="32">
        <v>0.91696806309113066</v>
      </c>
      <c r="CA29" s="32">
        <v>0.95825049701789267</v>
      </c>
      <c r="CB29" s="32">
        <v>0.94881889763779526</v>
      </c>
      <c r="CC29" s="32">
        <v>0.95677799607072689</v>
      </c>
      <c r="CD29" s="32">
        <v>0.9398058252427185</v>
      </c>
      <c r="CE29" s="32">
        <v>0.96055226824457596</v>
      </c>
      <c r="CF29" s="32">
        <v>0.94129158512720157</v>
      </c>
      <c r="CG29" s="32">
        <v>0.95463510848126232</v>
      </c>
      <c r="CH29" s="32">
        <v>0.95144745397459629</v>
      </c>
      <c r="CI29" s="32">
        <v>0.95816733067729087</v>
      </c>
      <c r="CJ29" s="32">
        <v>0.94129158512720157</v>
      </c>
      <c r="CK29" s="32">
        <v>0.94268774703557312</v>
      </c>
      <c r="CL29" s="32">
        <v>0.95890410958904104</v>
      </c>
      <c r="CM29" s="32">
        <v>0.9508840864440079</v>
      </c>
      <c r="CN29" s="32">
        <v>0.95481335952848723</v>
      </c>
      <c r="CO29" s="32">
        <v>0.97244094488188981</v>
      </c>
      <c r="CP29" s="32">
        <v>0.95416988046907025</v>
      </c>
      <c r="CQ29" s="32">
        <v>0.91683168316831687</v>
      </c>
      <c r="CR29" s="32">
        <v>0.95416666666666672</v>
      </c>
      <c r="CS29" s="32">
        <v>0.9617706237424547</v>
      </c>
      <c r="CT29" s="32">
        <v>0.95256916996047436</v>
      </c>
      <c r="CU29" s="32">
        <v>0.96831683168316829</v>
      </c>
      <c r="CV29" s="32">
        <v>0.96881091617933723</v>
      </c>
      <c r="CW29" s="32">
        <v>0.9508840864440079</v>
      </c>
      <c r="CX29" s="32">
        <v>0.95333571112063231</v>
      </c>
      <c r="CY29" s="32">
        <v>0.92024539877300615</v>
      </c>
      <c r="CZ29" s="32">
        <v>0.966796875</v>
      </c>
      <c r="DA29" s="32">
        <v>0.95078740157480313</v>
      </c>
      <c r="DB29" s="32">
        <v>0.95078740157480313</v>
      </c>
      <c r="DC29" s="32">
        <v>0.95390781563126248</v>
      </c>
      <c r="DD29" s="32">
        <v>0.9821428571428571</v>
      </c>
      <c r="DE29" s="32">
        <v>0.94399999999999995</v>
      </c>
      <c r="DF29" s="32">
        <v>0.95266682138524739</v>
      </c>
      <c r="DG29" s="32">
        <v>0.93951612903225812</v>
      </c>
      <c r="DH29" s="32">
        <v>0.95284872298624756</v>
      </c>
      <c r="DI29" s="32">
        <v>0.92079207920792083</v>
      </c>
      <c r="DJ29" s="32">
        <v>0.9192913385826772</v>
      </c>
      <c r="DK29" s="32">
        <v>0.96</v>
      </c>
      <c r="DL29" s="32">
        <v>0.95029821073558651</v>
      </c>
      <c r="DM29" s="32">
        <v>0.95454545454545459</v>
      </c>
      <c r="DN29" s="32">
        <v>0.94247027644144921</v>
      </c>
      <c r="DO29" s="32">
        <v>0.90835030549898166</v>
      </c>
      <c r="DP29" s="32">
        <v>0.94871794871794868</v>
      </c>
      <c r="DQ29" s="32">
        <v>0.92246520874751492</v>
      </c>
      <c r="DR29" s="32">
        <v>0.93675889328063244</v>
      </c>
      <c r="DS29" s="32">
        <v>0.92600000000000005</v>
      </c>
      <c r="DT29" s="32">
        <v>0.95744680851063835</v>
      </c>
      <c r="DU29" s="32">
        <v>0.92063492063492058</v>
      </c>
      <c r="DV29" s="32">
        <v>0.93148201219866245</v>
      </c>
      <c r="DW29" s="32">
        <v>0.92756539235412472</v>
      </c>
      <c r="DX29" s="32">
        <v>0.94140625</v>
      </c>
      <c r="DY29" s="32">
        <v>0.91633466135458164</v>
      </c>
      <c r="DZ29" s="32">
        <v>0.93096646942800787</v>
      </c>
      <c r="EA29" s="32">
        <v>0.94211576846307388</v>
      </c>
      <c r="EB29" s="32">
        <v>0.96215139442231079</v>
      </c>
      <c r="EC29" s="32">
        <v>0.94820717131474108</v>
      </c>
      <c r="ED29" s="32">
        <v>0.93839244390526289</v>
      </c>
      <c r="EE29" s="32">
        <v>0.91633466135458164</v>
      </c>
      <c r="EF29" s="32">
        <v>0.93177387914230014</v>
      </c>
      <c r="EG29" s="32">
        <v>0.93110236220472442</v>
      </c>
      <c r="EH29" s="32">
        <v>0.93385214007782102</v>
      </c>
      <c r="EI29" s="32">
        <v>0.94726166328600403</v>
      </c>
      <c r="EJ29" s="32">
        <v>0.95516569200779722</v>
      </c>
      <c r="EK29" s="32">
        <v>0.96047430830039526</v>
      </c>
      <c r="EL29" s="32">
        <v>0.9394235294819463</v>
      </c>
    </row>
    <row r="30" spans="2:142" x14ac:dyDescent="0.25">
      <c r="B30" s="20"/>
      <c r="C30" s="20"/>
      <c r="D30" s="20"/>
      <c r="E30" s="20"/>
      <c r="F30" s="20"/>
      <c r="G30" s="20"/>
      <c r="AL30" s="19" t="s">
        <v>87</v>
      </c>
      <c r="AM30" s="32">
        <v>0.93579234972677594</v>
      </c>
      <c r="AN30" s="32">
        <v>0.97950819672131151</v>
      </c>
      <c r="AO30" s="32">
        <v>0.9506849315068493</v>
      </c>
      <c r="AP30" s="32">
        <v>0.95901639344262291</v>
      </c>
      <c r="AQ30" s="32">
        <v>0.95218579234972678</v>
      </c>
      <c r="AR30" s="32">
        <v>0.93989071038251371</v>
      </c>
      <c r="AS30" s="32">
        <v>0.95491803278688525</v>
      </c>
      <c r="AT30" s="32">
        <v>0.95314234384524077</v>
      </c>
      <c r="AU30" s="32">
        <v>0.97715053763440862</v>
      </c>
      <c r="AV30" s="32">
        <v>0.93032786885245899</v>
      </c>
      <c r="AW30" s="32">
        <v>0.91666666666666663</v>
      </c>
      <c r="AX30" s="32">
        <v>0.97677595628415304</v>
      </c>
      <c r="AY30" s="32">
        <v>0.97950819672131151</v>
      </c>
      <c r="AZ30" s="32">
        <v>0.93548387096774188</v>
      </c>
      <c r="BA30" s="32">
        <v>0.94758064516129037</v>
      </c>
      <c r="BB30" s="32">
        <v>0.95192767746971885</v>
      </c>
      <c r="BC30" s="32">
        <v>0.91351351351351351</v>
      </c>
      <c r="BD30" s="32">
        <v>0.95945945945945943</v>
      </c>
      <c r="BE30" s="32">
        <v>0.91120218579234968</v>
      </c>
      <c r="BF30" s="32">
        <v>0.91120218579234968</v>
      </c>
      <c r="BG30" s="32">
        <v>0.93715846994535523</v>
      </c>
      <c r="BH30" s="32">
        <v>0.96561210453920221</v>
      </c>
      <c r="BI30" s="32">
        <v>0.94262295081967218</v>
      </c>
      <c r="BJ30" s="32">
        <v>0.93439583855170028</v>
      </c>
      <c r="BK30" s="32">
        <v>0.92896174863387981</v>
      </c>
      <c r="BL30" s="32">
        <v>0.88114754098360659</v>
      </c>
      <c r="BM30" s="32">
        <v>0.88934426229508201</v>
      </c>
      <c r="BN30" s="32">
        <v>0.94398907103825136</v>
      </c>
      <c r="BO30" s="32">
        <v>0.94535519125683065</v>
      </c>
      <c r="BP30" s="32">
        <v>0.84836065573770492</v>
      </c>
      <c r="BQ30" s="32">
        <v>0.86202185792349728</v>
      </c>
      <c r="BR30" s="32">
        <v>0.89988290398126458</v>
      </c>
      <c r="BS30" s="32">
        <v>0.93783783783783781</v>
      </c>
      <c r="BT30" s="32">
        <v>0.94808743169398912</v>
      </c>
      <c r="BU30" s="32">
        <v>0.92896174863387981</v>
      </c>
      <c r="BV30" s="32">
        <v>0.94808743169398912</v>
      </c>
      <c r="BW30" s="32">
        <v>0.93918918918918914</v>
      </c>
      <c r="BX30" s="32">
        <v>0.93579234972677594</v>
      </c>
      <c r="BY30" s="32">
        <v>0.92213114754098358</v>
      </c>
      <c r="BZ30" s="32">
        <v>0.93715530518809209</v>
      </c>
      <c r="CA30" s="32">
        <v>0.93682795698924726</v>
      </c>
      <c r="CB30" s="32">
        <v>0.94125683060109289</v>
      </c>
      <c r="CC30" s="32">
        <v>0.91935483870967738</v>
      </c>
      <c r="CD30" s="32">
        <v>0.92349726775956287</v>
      </c>
      <c r="CE30" s="32">
        <v>0.95081967213114749</v>
      </c>
      <c r="CF30" s="32">
        <v>0.94808743169398912</v>
      </c>
      <c r="CG30" s="32">
        <v>0.96174863387978138</v>
      </c>
      <c r="CH30" s="32">
        <v>0.94022751882349975</v>
      </c>
      <c r="CI30" s="32">
        <v>0.93169398907103829</v>
      </c>
      <c r="CJ30" s="32">
        <v>0.94125683060109289</v>
      </c>
      <c r="CK30" s="32">
        <v>0.96721311475409832</v>
      </c>
      <c r="CL30" s="32">
        <v>0.92213114754098358</v>
      </c>
      <c r="CM30" s="32">
        <v>0.89071038251366119</v>
      </c>
      <c r="CN30" s="32">
        <v>0.92076502732240439</v>
      </c>
      <c r="CO30" s="32">
        <v>0.92622950819672134</v>
      </c>
      <c r="CP30" s="32">
        <v>0.9285714285714286</v>
      </c>
      <c r="CQ30" s="32">
        <v>0.89335180055401664</v>
      </c>
      <c r="CR30" s="32">
        <v>0.93442622950819676</v>
      </c>
      <c r="CS30" s="32">
        <v>0.91135734072022156</v>
      </c>
      <c r="CT30" s="32">
        <v>0.91256830601092898</v>
      </c>
      <c r="CU30" s="32">
        <v>0.94398907103825136</v>
      </c>
      <c r="CV30" s="32">
        <v>0.91530054644808745</v>
      </c>
      <c r="CW30" s="32">
        <v>0.90027322404371579</v>
      </c>
      <c r="CX30" s="32">
        <v>0.91589521690334552</v>
      </c>
      <c r="CY30" s="32">
        <v>0.92473118279569888</v>
      </c>
      <c r="CZ30" s="32">
        <v>0.94125683060109289</v>
      </c>
      <c r="DA30" s="32">
        <v>0.93817204301075274</v>
      </c>
      <c r="DB30" s="32">
        <v>0.94398907103825136</v>
      </c>
      <c r="DC30" s="32">
        <v>0.95628415300546443</v>
      </c>
      <c r="DD30" s="32">
        <v>0.94125683060109289</v>
      </c>
      <c r="DE30" s="32">
        <v>0.95628415300546443</v>
      </c>
      <c r="DF30" s="32">
        <v>0.94313918057968826</v>
      </c>
      <c r="DG30" s="32">
        <v>0.9193989071038251</v>
      </c>
      <c r="DH30" s="32">
        <v>0.94672131147540983</v>
      </c>
      <c r="DI30" s="32">
        <v>0.93548387096774188</v>
      </c>
      <c r="DJ30" s="32">
        <v>0.93579234972677594</v>
      </c>
      <c r="DK30" s="32">
        <v>0.94672131147540983</v>
      </c>
      <c r="DL30" s="32">
        <v>0.93579234972677594</v>
      </c>
      <c r="DM30" s="32">
        <v>0.91803278688524592</v>
      </c>
      <c r="DN30" s="32">
        <v>0.93399184105159783</v>
      </c>
      <c r="DO30" s="32">
        <v>0.91397849462365588</v>
      </c>
      <c r="DP30" s="32">
        <v>0.945983379501385</v>
      </c>
      <c r="DQ30" s="32">
        <v>0.90591397849462363</v>
      </c>
      <c r="DR30" s="32">
        <v>0.92349726775956287</v>
      </c>
      <c r="DS30" s="32">
        <v>0.92349726775956287</v>
      </c>
      <c r="DT30" s="32">
        <v>0.94125683060109289</v>
      </c>
      <c r="DU30" s="32">
        <v>0.94125683060109289</v>
      </c>
      <c r="DV30" s="32">
        <v>0.92791200704871091</v>
      </c>
      <c r="DW30" s="32">
        <v>0.875</v>
      </c>
      <c r="DX30" s="32">
        <v>0.95081967213114749</v>
      </c>
      <c r="DY30" s="32">
        <v>0.90053763440860213</v>
      </c>
      <c r="DZ30" s="32">
        <v>0.91666666666666663</v>
      </c>
      <c r="EA30" s="32">
        <v>0.91135734072022156</v>
      </c>
      <c r="EB30" s="32">
        <v>0.91666666666666663</v>
      </c>
      <c r="EC30" s="32">
        <v>0.91530054644808745</v>
      </c>
      <c r="ED30" s="32">
        <v>0.91233550386305595</v>
      </c>
      <c r="EE30" s="32">
        <v>0.90221642764015642</v>
      </c>
      <c r="EF30" s="32">
        <v>0.91530054644808745</v>
      </c>
      <c r="EG30" s="32">
        <v>0.91916558018252936</v>
      </c>
      <c r="EH30" s="32">
        <v>0.91256830601092898</v>
      </c>
      <c r="EI30" s="32">
        <v>0.91120218579234968</v>
      </c>
      <c r="EJ30" s="32">
        <v>0.93306010928961747</v>
      </c>
      <c r="EK30" s="32">
        <v>0.93169398907103829</v>
      </c>
      <c r="EL30" s="32">
        <v>0.91788673491924389</v>
      </c>
    </row>
    <row r="31" spans="2:142" x14ac:dyDescent="0.25">
      <c r="B31" s="20"/>
      <c r="C31" s="20"/>
      <c r="D31" s="20"/>
      <c r="E31" s="20"/>
      <c r="F31" s="20"/>
      <c r="G31" s="20"/>
      <c r="AL31" s="19" t="s">
        <v>88</v>
      </c>
      <c r="AM31" s="32">
        <v>0.91752577319587625</v>
      </c>
      <c r="AN31" s="32">
        <v>0.94370860927152322</v>
      </c>
      <c r="AO31" s="32">
        <v>0.9106529209621993</v>
      </c>
      <c r="AP31" s="32">
        <v>0.93979933110367897</v>
      </c>
      <c r="AQ31" s="32">
        <v>0.97288135593220337</v>
      </c>
      <c r="AR31" s="32">
        <v>0.9375</v>
      </c>
      <c r="AS31" s="32">
        <v>0.97315436241610742</v>
      </c>
      <c r="AT31" s="32">
        <v>0.94217462184022693</v>
      </c>
      <c r="AU31" s="32">
        <v>0.95189003436426112</v>
      </c>
      <c r="AV31" s="32">
        <v>0.93288590604026844</v>
      </c>
      <c r="AW31" s="32">
        <v>1</v>
      </c>
      <c r="AX31" s="32">
        <v>1</v>
      </c>
      <c r="AY31" s="32">
        <v>0.89700996677740863</v>
      </c>
      <c r="AZ31" s="32">
        <v>0.99003322259136217</v>
      </c>
      <c r="BA31" s="32">
        <v>0.97689768976897695</v>
      </c>
      <c r="BB31" s="32">
        <v>0.96410240279175397</v>
      </c>
      <c r="BC31" s="32">
        <v>0.91304347826086951</v>
      </c>
      <c r="BD31" s="32">
        <v>0.97727272727272729</v>
      </c>
      <c r="BE31" s="32">
        <v>0.89333333333333331</v>
      </c>
      <c r="BF31" s="32">
        <v>0.93069306930693074</v>
      </c>
      <c r="BG31" s="32">
        <v>0.97350993377483441</v>
      </c>
      <c r="BH31" s="32">
        <v>0.93046357615894038</v>
      </c>
      <c r="BI31" s="32">
        <v>0.95033112582781454</v>
      </c>
      <c r="BJ31" s="32">
        <v>0.93837817770506426</v>
      </c>
      <c r="BK31" s="32">
        <v>0.90909090909090906</v>
      </c>
      <c r="BL31" s="32">
        <v>0.89261744966442957</v>
      </c>
      <c r="BM31" s="32">
        <v>0.9427609427609428</v>
      </c>
      <c r="BN31" s="32">
        <v>0.95065789473684215</v>
      </c>
      <c r="BO31" s="32">
        <v>0.9106529209621993</v>
      </c>
      <c r="BP31" s="32">
        <v>0.75778546712802763</v>
      </c>
      <c r="BQ31" s="32">
        <v>0.79584775086505188</v>
      </c>
      <c r="BR31" s="32">
        <v>0.87991619074405758</v>
      </c>
      <c r="BS31" s="32">
        <v>0.96825396825396826</v>
      </c>
      <c r="BT31" s="32">
        <v>0.99684542586750791</v>
      </c>
      <c r="BU31" s="32">
        <v>0.95924764890282133</v>
      </c>
      <c r="BV31" s="32">
        <v>0.96835443037974689</v>
      </c>
      <c r="BW31" s="32">
        <v>0.9426751592356688</v>
      </c>
      <c r="BX31" s="32">
        <v>0.9102990033222591</v>
      </c>
      <c r="BY31" s="32">
        <v>0.92156862745098034</v>
      </c>
      <c r="BZ31" s="32">
        <v>0.9524634662018503</v>
      </c>
      <c r="CA31" s="32">
        <v>0.87583892617449666</v>
      </c>
      <c r="CB31" s="32">
        <v>0.96238244514106586</v>
      </c>
      <c r="CC31" s="32">
        <v>0.89036544850498334</v>
      </c>
      <c r="CD31" s="32">
        <v>0.9169435215946844</v>
      </c>
      <c r="CE31" s="32">
        <v>0.92715231788079466</v>
      </c>
      <c r="CF31" s="32">
        <v>0.94822006472491904</v>
      </c>
      <c r="CG31" s="32">
        <v>0.94788273615635177</v>
      </c>
      <c r="CH31" s="32">
        <v>0.92411220859675669</v>
      </c>
      <c r="CI31" s="32">
        <v>0.83673469387755106</v>
      </c>
      <c r="CJ31" s="32">
        <v>0.89966555183946484</v>
      </c>
      <c r="CK31" s="32">
        <v>0.78596491228070176</v>
      </c>
      <c r="CL31" s="32">
        <v>0.865979381443299</v>
      </c>
      <c r="CM31" s="32">
        <v>0.91749174917491749</v>
      </c>
      <c r="CN31" s="32">
        <v>0.93092105263157898</v>
      </c>
      <c r="CO31" s="32">
        <v>0.94059405940594054</v>
      </c>
      <c r="CP31" s="32">
        <v>0.88247877152192189</v>
      </c>
      <c r="CQ31" s="32">
        <v>0.91582491582491588</v>
      </c>
      <c r="CR31" s="32">
        <v>0.90572390572390571</v>
      </c>
      <c r="CS31" s="32">
        <v>0.90572390572390571</v>
      </c>
      <c r="CT31" s="32">
        <v>0.93092105263157898</v>
      </c>
      <c r="CU31" s="32">
        <v>0.90635451505016718</v>
      </c>
      <c r="CV31" s="32">
        <v>0.95986622073578598</v>
      </c>
      <c r="CW31" s="32">
        <v>0.91946308724832215</v>
      </c>
      <c r="CX31" s="32">
        <v>0.92055394327694018</v>
      </c>
      <c r="CY31" s="32">
        <v>0.91808873720136519</v>
      </c>
      <c r="CZ31" s="32">
        <v>0.94370860927152322</v>
      </c>
      <c r="DA31" s="32">
        <v>0.90508474576271192</v>
      </c>
      <c r="DB31" s="32">
        <v>0.95723684210526316</v>
      </c>
      <c r="DC31" s="32">
        <v>0.96989966555183948</v>
      </c>
      <c r="DD31" s="32">
        <v>0.9868852459016394</v>
      </c>
      <c r="DE31" s="32">
        <v>0.92026578073089704</v>
      </c>
      <c r="DF31" s="32">
        <v>0.94302423236074839</v>
      </c>
      <c r="DG31" s="32">
        <v>0.94217687074829937</v>
      </c>
      <c r="DH31" s="32">
        <v>0.92307692307692313</v>
      </c>
      <c r="DI31" s="32">
        <v>0.90476190476190477</v>
      </c>
      <c r="DJ31" s="32">
        <v>0.91891891891891897</v>
      </c>
      <c r="DK31" s="32">
        <v>0.90033222591362128</v>
      </c>
      <c r="DL31" s="32">
        <v>0.92409240924092406</v>
      </c>
      <c r="DM31" s="32">
        <v>0.95364238410596025</v>
      </c>
      <c r="DN31" s="32">
        <v>0.92385737668093593</v>
      </c>
      <c r="DO31" s="32">
        <v>0.91721854304635764</v>
      </c>
      <c r="DP31" s="32">
        <v>0.97306397306397308</v>
      </c>
      <c r="DQ31" s="32">
        <v>0.93898305084745759</v>
      </c>
      <c r="DR31" s="32">
        <v>0.96496815286624205</v>
      </c>
      <c r="DS31" s="32">
        <v>0.96763754045307449</v>
      </c>
      <c r="DT31" s="32">
        <v>0.97427652733118975</v>
      </c>
      <c r="DU31" s="32">
        <v>0.96815286624203822</v>
      </c>
      <c r="DV31" s="32">
        <v>0.95775723626433318</v>
      </c>
      <c r="DW31" s="32">
        <v>0.9102990033222591</v>
      </c>
      <c r="DX31" s="32">
        <v>0.94888178913738019</v>
      </c>
      <c r="DY31" s="32">
        <v>0.89036544850498334</v>
      </c>
      <c r="DZ31" s="32">
        <v>0.88424437299035374</v>
      </c>
      <c r="EA31" s="32">
        <v>0.94788273615635177</v>
      </c>
      <c r="EB31" s="32">
        <v>0.94855305466237938</v>
      </c>
      <c r="EC31" s="32">
        <v>0.93137254901960786</v>
      </c>
      <c r="ED31" s="32">
        <v>0.9230855648276165</v>
      </c>
      <c r="EE31" s="32">
        <v>0.97427652733118975</v>
      </c>
      <c r="EF31" s="32">
        <v>0.94407894736842102</v>
      </c>
      <c r="EG31" s="32">
        <v>0.92233009708737868</v>
      </c>
      <c r="EH31" s="32">
        <v>0.99035369774919613</v>
      </c>
      <c r="EI31" s="32">
        <v>0.94855305466237938</v>
      </c>
      <c r="EJ31" s="32">
        <v>0.95454545454545459</v>
      </c>
      <c r="EK31" s="32">
        <v>0.97068403908794787</v>
      </c>
      <c r="EL31" s="32">
        <v>0.95783168826170961</v>
      </c>
    </row>
    <row r="32" spans="2:142" x14ac:dyDescent="0.25">
      <c r="B32" s="20"/>
      <c r="C32" s="20"/>
      <c r="D32" s="20"/>
      <c r="E32" s="20"/>
      <c r="F32" s="20"/>
      <c r="G32" s="20"/>
      <c r="AL32" s="19" t="s">
        <v>89</v>
      </c>
      <c r="AM32" s="32">
        <v>0.97632058287795997</v>
      </c>
      <c r="AN32" s="32">
        <v>0.97252747252747251</v>
      </c>
      <c r="AO32" s="32">
        <v>0.96167883211678828</v>
      </c>
      <c r="AP32" s="32">
        <v>0.98014440433213001</v>
      </c>
      <c r="AQ32" s="32">
        <v>0.97252747252747251</v>
      </c>
      <c r="AR32" s="32">
        <v>0.97252747252747251</v>
      </c>
      <c r="AS32" s="32">
        <v>0.97252747252747251</v>
      </c>
      <c r="AT32" s="32">
        <v>0.97260767277668114</v>
      </c>
      <c r="AU32" s="32">
        <v>0.97985347985347981</v>
      </c>
      <c r="AV32" s="32">
        <v>0.97096188747731393</v>
      </c>
      <c r="AW32" s="32">
        <v>0.96703296703296704</v>
      </c>
      <c r="AX32" s="32">
        <v>0.98548094373865702</v>
      </c>
      <c r="AY32" s="32">
        <v>0.98548094373865702</v>
      </c>
      <c r="AZ32" s="32">
        <v>0.96931407942238268</v>
      </c>
      <c r="BA32" s="32">
        <v>0.96739130434782605</v>
      </c>
      <c r="BB32" s="32">
        <v>0.9750736579444691</v>
      </c>
      <c r="BC32" s="32">
        <v>0.96520146520146521</v>
      </c>
      <c r="BD32" s="32">
        <v>0.97653429602888087</v>
      </c>
      <c r="BE32" s="32">
        <v>0.93223443223443225</v>
      </c>
      <c r="BF32" s="32">
        <v>0.9432234432234432</v>
      </c>
      <c r="BG32" s="32">
        <v>0.97802197802197799</v>
      </c>
      <c r="BH32" s="32">
        <v>0.98198198198198194</v>
      </c>
      <c r="BI32" s="32">
        <v>0.98194945848375448</v>
      </c>
      <c r="BJ32" s="32">
        <v>0.96559243645370518</v>
      </c>
      <c r="BK32" s="32">
        <v>0.97069597069597069</v>
      </c>
      <c r="BL32" s="32">
        <v>0.9432234432234432</v>
      </c>
      <c r="BM32" s="32">
        <v>0.96886446886446886</v>
      </c>
      <c r="BN32" s="32">
        <v>0.9873188405797102</v>
      </c>
      <c r="BO32" s="32">
        <v>0.95238095238095233</v>
      </c>
      <c r="BP32" s="32">
        <v>0.90842490842490842</v>
      </c>
      <c r="BQ32" s="32">
        <v>0.94505494505494503</v>
      </c>
      <c r="BR32" s="32">
        <v>0.9537090756034855</v>
      </c>
      <c r="BS32" s="32">
        <v>0.98010849909584086</v>
      </c>
      <c r="BT32" s="32">
        <v>0.96036036036036032</v>
      </c>
      <c r="BU32" s="32">
        <v>0.97826086956521741</v>
      </c>
      <c r="BV32" s="32">
        <v>0.96576576576576578</v>
      </c>
      <c r="BW32" s="32">
        <v>0.98369565217391308</v>
      </c>
      <c r="BX32" s="32">
        <v>0.96153846153846156</v>
      </c>
      <c r="BY32" s="32">
        <v>0.98724954462659376</v>
      </c>
      <c r="BZ32" s="32">
        <v>0.97385416473230768</v>
      </c>
      <c r="CA32" s="32">
        <v>0.9521276595744681</v>
      </c>
      <c r="CB32" s="32">
        <v>0.99641577060931896</v>
      </c>
      <c r="CC32" s="32">
        <v>0.94366197183098588</v>
      </c>
      <c r="CD32" s="32">
        <v>0.9553571428571429</v>
      </c>
      <c r="CE32" s="32">
        <v>0.98750000000000004</v>
      </c>
      <c r="CF32" s="32">
        <v>0.9804270462633452</v>
      </c>
      <c r="CG32" s="32">
        <v>0.98421052631578942</v>
      </c>
      <c r="CH32" s="32">
        <v>0.97138573106443593</v>
      </c>
      <c r="CI32" s="32">
        <v>0.96969696969696972</v>
      </c>
      <c r="CJ32" s="32">
        <v>0.94784172661870503</v>
      </c>
      <c r="CK32" s="32">
        <v>0.96791443850267378</v>
      </c>
      <c r="CL32" s="32">
        <v>0.97857142857142854</v>
      </c>
      <c r="CM32" s="32">
        <v>0.95008912655971478</v>
      </c>
      <c r="CN32" s="32">
        <v>0.9554367201426025</v>
      </c>
      <c r="CO32" s="32">
        <v>0.9804270462633452</v>
      </c>
      <c r="CP32" s="32">
        <v>0.9642824937650627</v>
      </c>
      <c r="CQ32" s="32">
        <v>0.90909090909090906</v>
      </c>
      <c r="CR32" s="32">
        <v>0.978984238178634</v>
      </c>
      <c r="CS32" s="32">
        <v>0.95721925133689845</v>
      </c>
      <c r="CT32" s="32">
        <v>0.97682709447415328</v>
      </c>
      <c r="CU32" s="32">
        <v>0.95721925133689845</v>
      </c>
      <c r="CV32" s="32">
        <v>0.96296296296296291</v>
      </c>
      <c r="CW32" s="32">
        <v>0.96613190730837795</v>
      </c>
      <c r="CX32" s="32">
        <v>0.95834794495554754</v>
      </c>
      <c r="CY32" s="32">
        <v>0.9733096085409253</v>
      </c>
      <c r="CZ32" s="32">
        <v>0.95907473309608537</v>
      </c>
      <c r="DA32" s="32">
        <v>0.9733096085409253</v>
      </c>
      <c r="DB32" s="32">
        <v>0.97335701598579039</v>
      </c>
      <c r="DC32" s="32">
        <v>0.95017793594306055</v>
      </c>
      <c r="DD32" s="32">
        <v>0.96975088967971534</v>
      </c>
      <c r="DE32" s="32">
        <v>0.97153024911032027</v>
      </c>
      <c r="DF32" s="32">
        <v>0.96721572012811752</v>
      </c>
      <c r="DG32" s="32">
        <v>0.96078431372549022</v>
      </c>
      <c r="DH32" s="32">
        <v>0.98236331569664903</v>
      </c>
      <c r="DI32" s="32">
        <v>0.95900178253119428</v>
      </c>
      <c r="DJ32" s="32">
        <v>0.95365418894830656</v>
      </c>
      <c r="DK32" s="32">
        <v>0.96613190730837795</v>
      </c>
      <c r="DL32" s="32">
        <v>0.97891036906854134</v>
      </c>
      <c r="DM32" s="32">
        <v>0.97153024911032027</v>
      </c>
      <c r="DN32" s="32">
        <v>0.9674823037698399</v>
      </c>
      <c r="DO32" s="32">
        <v>0.96078431372549022</v>
      </c>
      <c r="DP32" s="32">
        <v>0.96969696969696972</v>
      </c>
      <c r="DQ32" s="32">
        <v>0.95365418894830656</v>
      </c>
      <c r="DR32" s="32">
        <v>0.96078431372549022</v>
      </c>
      <c r="DS32" s="32">
        <v>0.97147950089126556</v>
      </c>
      <c r="DT32" s="32">
        <v>0.97147950089126556</v>
      </c>
      <c r="DU32" s="32">
        <v>0.98404255319148937</v>
      </c>
      <c r="DV32" s="32">
        <v>0.96741733443861111</v>
      </c>
      <c r="DW32" s="32">
        <v>0.95008912655971478</v>
      </c>
      <c r="DX32" s="32">
        <v>0.93939393939393945</v>
      </c>
      <c r="DY32" s="32">
        <v>0.94830659536541895</v>
      </c>
      <c r="DZ32" s="32">
        <v>0.9732620320855615</v>
      </c>
      <c r="EA32" s="32">
        <v>0.92678571428571432</v>
      </c>
      <c r="EB32" s="32">
        <v>0.93582887700534756</v>
      </c>
      <c r="EC32" s="32">
        <v>0.93582887700534756</v>
      </c>
      <c r="ED32" s="32">
        <v>0.94421359452872056</v>
      </c>
      <c r="EE32" s="32">
        <v>0.96256684491978606</v>
      </c>
      <c r="EF32" s="32">
        <v>0.95721925133689845</v>
      </c>
      <c r="EG32" s="32">
        <v>0.96078431372549022</v>
      </c>
      <c r="EH32" s="32">
        <v>0.98752228163992872</v>
      </c>
      <c r="EI32" s="32">
        <v>0.95721925133689845</v>
      </c>
      <c r="EJ32" s="32">
        <v>0.96256684491978606</v>
      </c>
      <c r="EK32" s="32">
        <v>0.95900178253119428</v>
      </c>
      <c r="EL32" s="32">
        <v>0.96384008148714029</v>
      </c>
    </row>
    <row r="33" spans="2:142" x14ac:dyDescent="0.25">
      <c r="B33" s="20"/>
      <c r="C33" s="20"/>
      <c r="D33" s="20"/>
      <c r="E33" s="20"/>
      <c r="F33" s="20"/>
      <c r="G33" s="20"/>
      <c r="AL33" s="19" t="s">
        <v>90</v>
      </c>
      <c r="AM33" s="32">
        <v>0.95692307692307688</v>
      </c>
      <c r="AN33" s="32">
        <v>0.97538461538461541</v>
      </c>
      <c r="AO33" s="32">
        <v>0.96261682242990654</v>
      </c>
      <c r="AP33" s="32">
        <v>0.97891566265060237</v>
      </c>
      <c r="AQ33" s="32">
        <v>0.95341614906832295</v>
      </c>
      <c r="AR33" s="32">
        <v>0.96932515337423308</v>
      </c>
      <c r="AS33" s="32">
        <v>0.96615384615384614</v>
      </c>
      <c r="AT33" s="32">
        <v>0.96610504656922913</v>
      </c>
      <c r="AU33" s="32">
        <v>0.98159509202453987</v>
      </c>
      <c r="AV33" s="32">
        <v>0.97058823529411764</v>
      </c>
      <c r="AW33" s="32">
        <v>0.95398773006134974</v>
      </c>
      <c r="AX33" s="32">
        <v>0.98250728862973757</v>
      </c>
      <c r="AY33" s="32">
        <v>0.96439169139465875</v>
      </c>
      <c r="AZ33" s="32">
        <v>0.95665634674922606</v>
      </c>
      <c r="BA33" s="32">
        <v>0.97515527950310554</v>
      </c>
      <c r="BB33" s="32">
        <v>0.96926880909381929</v>
      </c>
      <c r="BC33" s="32">
        <v>0.98484848484848486</v>
      </c>
      <c r="BD33" s="32">
        <v>0.97959183673469385</v>
      </c>
      <c r="BE33" s="32">
        <v>0.96594427244582048</v>
      </c>
      <c r="BF33" s="32">
        <v>0.96385542168674698</v>
      </c>
      <c r="BG33" s="32">
        <v>0.98192771084337349</v>
      </c>
      <c r="BH33" s="32">
        <v>0.99706744868035191</v>
      </c>
      <c r="BI33" s="32">
        <v>0.9756838905775076</v>
      </c>
      <c r="BJ33" s="32">
        <v>0.97841700940242549</v>
      </c>
      <c r="BK33" s="32">
        <v>0.97213622291021673</v>
      </c>
      <c r="BL33" s="32">
        <v>0.91950464396284826</v>
      </c>
      <c r="BM33" s="32">
        <v>0.97546012269938653</v>
      </c>
      <c r="BN33" s="32">
        <v>0.97777777777777775</v>
      </c>
      <c r="BO33" s="32">
        <v>0.94670846394984332</v>
      </c>
      <c r="BP33" s="32">
        <v>0.91021671826625383</v>
      </c>
      <c r="BQ33" s="32">
        <v>0.98417721518987344</v>
      </c>
      <c r="BR33" s="32">
        <v>0.95514016639374277</v>
      </c>
      <c r="BS33" s="32">
        <v>0.9744408945686901</v>
      </c>
      <c r="BT33" s="32">
        <v>0.98016997167138808</v>
      </c>
      <c r="BU33" s="32">
        <v>0.97264437689969607</v>
      </c>
      <c r="BV33" s="32">
        <v>0.98567335243553011</v>
      </c>
      <c r="BW33" s="32">
        <v>0.97674418604651159</v>
      </c>
      <c r="BX33" s="32">
        <v>0.95569620253164556</v>
      </c>
      <c r="BY33" s="32">
        <v>0.97640117994100295</v>
      </c>
      <c r="BZ33" s="32">
        <v>0.97453859487063776</v>
      </c>
      <c r="CA33" s="32">
        <v>0.9878419452887538</v>
      </c>
      <c r="CB33" s="32">
        <v>0.97994269340974216</v>
      </c>
      <c r="CC33" s="32">
        <v>0.96153846153846156</v>
      </c>
      <c r="CD33" s="32">
        <v>0.97832817337461297</v>
      </c>
      <c r="CE33" s="32">
        <v>0.96187683284457481</v>
      </c>
      <c r="CF33" s="32">
        <v>0.991044776119403</v>
      </c>
      <c r="CG33" s="32">
        <v>0.99147727272727271</v>
      </c>
      <c r="CH33" s="32">
        <v>0.97886430790040291</v>
      </c>
      <c r="CI33" s="32">
        <v>0.97826086956521741</v>
      </c>
      <c r="CJ33" s="32">
        <v>0.9785932721712538</v>
      </c>
      <c r="CK33" s="32">
        <v>0.96865203761755481</v>
      </c>
      <c r="CL33" s="32" t="e">
        <v>#NUM!</v>
      </c>
      <c r="CM33" s="32">
        <v>0.9756838905775076</v>
      </c>
      <c r="CN33" s="32">
        <v>0.97256097560975607</v>
      </c>
      <c r="CO33" s="32">
        <v>0.97187500000000004</v>
      </c>
      <c r="CP33" s="32" t="e">
        <v>#NUM!</v>
      </c>
      <c r="CQ33" s="32">
        <v>0.97819314641744548</v>
      </c>
      <c r="CR33" s="32">
        <v>0.9882352941176471</v>
      </c>
      <c r="CS33" s="32">
        <v>0.97784810126582278</v>
      </c>
      <c r="CT33" s="32">
        <v>0.96951219512195119</v>
      </c>
      <c r="CU33" s="32">
        <v>0.95886075949367089</v>
      </c>
      <c r="CV33" s="32">
        <v>0.97839506172839508</v>
      </c>
      <c r="CW33" s="32">
        <v>0.97826086956521741</v>
      </c>
      <c r="CX33" s="32">
        <v>0.97561506110145013</v>
      </c>
      <c r="CY33" s="32">
        <v>0.97178683385579934</v>
      </c>
      <c r="CZ33" s="32">
        <v>0.96696696696696693</v>
      </c>
      <c r="DA33" s="32">
        <v>0.9780564263322884</v>
      </c>
      <c r="DB33" s="32">
        <v>0.96583850931677018</v>
      </c>
      <c r="DC33" s="32">
        <v>0.9555555555555556</v>
      </c>
      <c r="DD33" s="32">
        <v>0.98255813953488369</v>
      </c>
      <c r="DE33" s="32">
        <v>0.98542274052478129</v>
      </c>
      <c r="DF33" s="32">
        <v>0.97231216744100635</v>
      </c>
      <c r="DG33" s="32">
        <v>0.96884735202492211</v>
      </c>
      <c r="DH33" s="32">
        <v>0.96261682242990654</v>
      </c>
      <c r="DI33" s="32">
        <v>0.95886075949367089</v>
      </c>
      <c r="DJ33" s="32">
        <v>0.96594427244582048</v>
      </c>
      <c r="DK33" s="32">
        <v>0.97230769230769232</v>
      </c>
      <c r="DL33" s="32">
        <v>0.98203592814371254</v>
      </c>
      <c r="DM33" s="32">
        <v>0.96615384615384614</v>
      </c>
      <c r="DN33" s="32">
        <v>0.96810952471422451</v>
      </c>
      <c r="DO33" s="32">
        <v>0.97305389221556882</v>
      </c>
      <c r="DP33" s="32">
        <v>0.9640718562874252</v>
      </c>
      <c r="DQ33" s="32">
        <v>0.98816568047337283</v>
      </c>
      <c r="DR33" s="32">
        <v>0.96706586826347307</v>
      </c>
      <c r="DS33" s="32">
        <v>0.96996996996996998</v>
      </c>
      <c r="DT33" s="32">
        <v>0.97553516819571862</v>
      </c>
      <c r="DU33" s="32">
        <v>0.96284829721362231</v>
      </c>
      <c r="DV33" s="32">
        <v>0.97153010465987866</v>
      </c>
      <c r="DW33" s="32">
        <v>0.97784810126582278</v>
      </c>
      <c r="DX33" s="32">
        <v>0.96696696696696693</v>
      </c>
      <c r="DY33" s="32">
        <v>0.97160883280757093</v>
      </c>
      <c r="DZ33" s="32">
        <v>0.96238244514106586</v>
      </c>
      <c r="EA33" s="32">
        <v>0.98130841121495327</v>
      </c>
      <c r="EB33" s="32">
        <v>0.96573208722741433</v>
      </c>
      <c r="EC33" s="32">
        <v>0.97160883280757093</v>
      </c>
      <c r="ED33" s="32">
        <v>0.97106509677590924</v>
      </c>
      <c r="EE33" s="32">
        <v>0.98119122257053293</v>
      </c>
      <c r="EF33" s="32">
        <v>0.95638629283489096</v>
      </c>
      <c r="EG33" s="32">
        <v>0.9713375796178344</v>
      </c>
      <c r="EH33" s="32">
        <v>0.96507936507936509</v>
      </c>
      <c r="EI33" s="32">
        <v>0.95911949685534592</v>
      </c>
      <c r="EJ33" s="32">
        <v>0.95253164556962022</v>
      </c>
      <c r="EK33" s="32">
        <v>0.93890675241157562</v>
      </c>
      <c r="EL33" s="32">
        <v>0.96065033641988073</v>
      </c>
    </row>
    <row r="34" spans="2:142" x14ac:dyDescent="0.25">
      <c r="B34" s="20"/>
      <c r="C34" s="20"/>
      <c r="D34" s="20"/>
      <c r="E34" s="20"/>
      <c r="F34" s="20"/>
      <c r="G34" s="20"/>
      <c r="AL34" s="19" t="s">
        <v>91</v>
      </c>
      <c r="AM34" s="32">
        <v>0.94140625</v>
      </c>
      <c r="AN34" s="32">
        <v>0.93623481781376516</v>
      </c>
      <c r="AO34" s="32">
        <v>0.92714570858283429</v>
      </c>
      <c r="AP34" s="32">
        <v>0.90079365079365081</v>
      </c>
      <c r="AQ34" s="32">
        <v>0.91627021883920079</v>
      </c>
      <c r="AR34" s="32">
        <v>0.87931034482758619</v>
      </c>
      <c r="AS34" s="32">
        <v>0.87927756653992395</v>
      </c>
      <c r="AT34" s="32">
        <v>0.91149122248528014</v>
      </c>
      <c r="AU34" s="32">
        <v>0.94134897360703818</v>
      </c>
      <c r="AV34" s="32">
        <v>0.92512315270935963</v>
      </c>
      <c r="AW34" s="32">
        <v>0.9479371316306483</v>
      </c>
      <c r="AX34" s="32">
        <v>0.92899408284023666</v>
      </c>
      <c r="AY34" s="32">
        <v>0.93725490196078431</v>
      </c>
      <c r="AZ34" s="32">
        <v>0.9509803921568627</v>
      </c>
      <c r="BA34" s="32">
        <v>0.95274831243973002</v>
      </c>
      <c r="BB34" s="32">
        <v>0.94062670676352267</v>
      </c>
      <c r="BC34" s="32">
        <v>0.93793103448275861</v>
      </c>
      <c r="BD34" s="32">
        <v>0.94187192118226604</v>
      </c>
      <c r="BE34" s="32">
        <v>0.91988130563798221</v>
      </c>
      <c r="BF34" s="32">
        <v>0.92673267326732678</v>
      </c>
      <c r="BG34" s="32">
        <v>0.95284872298624756</v>
      </c>
      <c r="BH34" s="32">
        <v>0.95048543689320386</v>
      </c>
      <c r="BI34" s="32">
        <v>0.95481335952848723</v>
      </c>
      <c r="BJ34" s="32">
        <v>0.94065206485403885</v>
      </c>
      <c r="BK34" s="32">
        <v>0.90409590409590412</v>
      </c>
      <c r="BL34" s="32">
        <v>0.93228655544651617</v>
      </c>
      <c r="BM34" s="32">
        <v>0.90518962075848308</v>
      </c>
      <c r="BN34" s="32">
        <v>0.90246305418719208</v>
      </c>
      <c r="BO34" s="32">
        <v>0.875</v>
      </c>
      <c r="BP34" s="32">
        <v>0.91988130563798221</v>
      </c>
      <c r="BQ34" s="32">
        <v>0.8416334661354582</v>
      </c>
      <c r="BR34" s="32">
        <v>0.89722141518021936</v>
      </c>
      <c r="BS34" s="32">
        <v>0.9079333986287953</v>
      </c>
      <c r="BT34" s="32">
        <v>0.92094861660079053</v>
      </c>
      <c r="BU34" s="32">
        <v>0.90845771144278609</v>
      </c>
      <c r="BV34" s="32">
        <v>0.89860834990059646</v>
      </c>
      <c r="BW34" s="32">
        <v>0.91881188118811885</v>
      </c>
      <c r="BX34" s="32">
        <v>0.9196428571428571</v>
      </c>
      <c r="BY34" s="32">
        <v>0.90737051792828682</v>
      </c>
      <c r="BZ34" s="32">
        <v>0.91168190469031885</v>
      </c>
      <c r="CA34" s="32">
        <v>0.94227005870841485</v>
      </c>
      <c r="CB34" s="32">
        <v>0.9211822660098522</v>
      </c>
      <c r="CC34" s="32">
        <v>0.9433040078201369</v>
      </c>
      <c r="CD34" s="32">
        <v>0.92465753424657537</v>
      </c>
      <c r="CE34" s="32">
        <v>0.9393346379647749</v>
      </c>
      <c r="CF34" s="32">
        <v>0.93073170731707322</v>
      </c>
      <c r="CG34" s="32">
        <v>0.92780487804878053</v>
      </c>
      <c r="CH34" s="32">
        <v>0.93275501287365825</v>
      </c>
      <c r="CI34" s="32">
        <v>0.94111874386653582</v>
      </c>
      <c r="CJ34" s="32">
        <v>0.92996108949416345</v>
      </c>
      <c r="CK34" s="32">
        <v>0.93096646942800787</v>
      </c>
      <c r="CL34" s="32">
        <v>0.92709359605911335</v>
      </c>
      <c r="CM34" s="32">
        <v>0.95077220077220082</v>
      </c>
      <c r="CN34" s="32">
        <v>0.93957115009746583</v>
      </c>
      <c r="CO34" s="32">
        <v>0.94901960784313721</v>
      </c>
      <c r="CP34" s="32">
        <v>0.93835755108008922</v>
      </c>
      <c r="CQ34" s="32">
        <v>0.92843137254901964</v>
      </c>
      <c r="CR34" s="32">
        <v>0.93713163064833005</v>
      </c>
      <c r="CS34" s="32">
        <v>0.92376237623762381</v>
      </c>
      <c r="CT34" s="32">
        <v>0.90396039603960399</v>
      </c>
      <c r="CU34" s="32">
        <v>0.9384765625</v>
      </c>
      <c r="CV34" s="32">
        <v>0.9296187683284457</v>
      </c>
      <c r="CW34" s="32">
        <v>0.93184031158714709</v>
      </c>
      <c r="CX34" s="32">
        <v>0.9276030596985958</v>
      </c>
      <c r="CY34" s="32">
        <v>0.94736842105263153</v>
      </c>
      <c r="CZ34" s="32">
        <v>0.9263261296660118</v>
      </c>
      <c r="DA34" s="32">
        <v>0.9386562804284323</v>
      </c>
      <c r="DB34" s="32">
        <v>0.93032384690873404</v>
      </c>
      <c r="DC34" s="32">
        <v>0.94025465230166505</v>
      </c>
      <c r="DD34" s="32">
        <v>0.94711067580803132</v>
      </c>
      <c r="DE34" s="32">
        <v>0.94901960784313721</v>
      </c>
      <c r="DF34" s="32">
        <v>0.93986565914409204</v>
      </c>
      <c r="DG34" s="32">
        <v>0.95339805825242718</v>
      </c>
      <c r="DH34" s="32">
        <v>0.9287109375</v>
      </c>
      <c r="DI34" s="32">
        <v>0.92079207920792083</v>
      </c>
      <c r="DJ34" s="32">
        <v>0.92368681863230917</v>
      </c>
      <c r="DK34" s="32">
        <v>0.95029239766081874</v>
      </c>
      <c r="DL34" s="32">
        <v>0.94547224926971762</v>
      </c>
      <c r="DM34" s="32">
        <v>0.94319294809010779</v>
      </c>
      <c r="DN34" s="32">
        <v>0.93793506980190011</v>
      </c>
      <c r="DO34" s="32">
        <v>0.92702169625246544</v>
      </c>
      <c r="DP34" s="32">
        <v>0.92397660818713445</v>
      </c>
      <c r="DQ34" s="32">
        <v>0.90711462450592883</v>
      </c>
      <c r="DR34" s="32">
        <v>0.91988130563798221</v>
      </c>
      <c r="DS34" s="32">
        <v>0.94525904203323563</v>
      </c>
      <c r="DT34" s="32">
        <v>0.93548387096774188</v>
      </c>
      <c r="DU34" s="32">
        <v>0.95703125</v>
      </c>
      <c r="DV34" s="32">
        <v>0.93082405679778402</v>
      </c>
      <c r="DW34" s="32">
        <v>0.92779426310583579</v>
      </c>
      <c r="DX34" s="32">
        <v>0.92102665350444224</v>
      </c>
      <c r="DY34" s="32">
        <v>0.91798418972332019</v>
      </c>
      <c r="DZ34" s="32">
        <v>0.9047151277013753</v>
      </c>
      <c r="EA34" s="32">
        <v>0.93437806072477958</v>
      </c>
      <c r="EB34" s="32">
        <v>0.90944881889763785</v>
      </c>
      <c r="EC34" s="32">
        <v>0.92035398230088494</v>
      </c>
      <c r="ED34" s="32">
        <v>0.91938587085118229</v>
      </c>
      <c r="EE34" s="32">
        <v>0.92254901960784319</v>
      </c>
      <c r="EF34" s="32">
        <v>0.91236611489776043</v>
      </c>
      <c r="EG34" s="32">
        <v>0.90828402366863903</v>
      </c>
      <c r="EH34" s="32">
        <v>0.89509803921568631</v>
      </c>
      <c r="EI34" s="32">
        <v>0.92618110236220474</v>
      </c>
      <c r="EJ34" s="32">
        <v>0.92585365853658541</v>
      </c>
      <c r="EK34" s="32">
        <v>0.92704280155642027</v>
      </c>
      <c r="EL34" s="32">
        <v>0.91676782283502001</v>
      </c>
    </row>
    <row r="35" spans="2:142" ht="14.25" customHeight="1" x14ac:dyDescent="0.25">
      <c r="B35" s="20"/>
      <c r="C35" s="20"/>
      <c r="D35" s="20"/>
      <c r="E35" s="20"/>
      <c r="F35" s="20"/>
      <c r="G35" s="20"/>
      <c r="AL35" s="19" t="s">
        <v>92</v>
      </c>
      <c r="AM35" s="32">
        <v>0.94869109947643981</v>
      </c>
      <c r="AN35" s="32">
        <v>0.95178197064989523</v>
      </c>
      <c r="AO35" s="32">
        <v>0.93815513626834379</v>
      </c>
      <c r="AP35" s="32">
        <v>0.96020942408376964</v>
      </c>
      <c r="AQ35" s="32">
        <v>0.94123819517313745</v>
      </c>
      <c r="AR35" s="32">
        <v>0.95173137460650581</v>
      </c>
      <c r="AS35" s="32">
        <v>0.94537815126050417</v>
      </c>
      <c r="AT35" s="32">
        <v>0.94816933593122787</v>
      </c>
      <c r="AU35" s="32">
        <v>0.94957983193277307</v>
      </c>
      <c r="AV35" s="32">
        <v>0.96066252587991718</v>
      </c>
      <c r="AW35" s="32">
        <v>0.95278069254984266</v>
      </c>
      <c r="AX35" s="32">
        <v>0.95525494276795009</v>
      </c>
      <c r="AY35" s="32">
        <v>0.95983086680761098</v>
      </c>
      <c r="AZ35" s="32">
        <v>0.96157840083073731</v>
      </c>
      <c r="BA35" s="32">
        <v>0.96157840083073731</v>
      </c>
      <c r="BB35" s="32">
        <v>0.95732366594279561</v>
      </c>
      <c r="BC35" s="32">
        <v>0.80781414994720169</v>
      </c>
      <c r="BD35" s="32">
        <v>0.96494845360824744</v>
      </c>
      <c r="BE35" s="32">
        <v>0.82998944033790922</v>
      </c>
      <c r="BF35" s="32">
        <v>0.95697796432318993</v>
      </c>
      <c r="BG35" s="32">
        <v>0.96092925026399156</v>
      </c>
      <c r="BH35" s="32">
        <v>0.95958549222797929</v>
      </c>
      <c r="BI35" s="32">
        <v>0.95712754555198287</v>
      </c>
      <c r="BJ35" s="32">
        <v>0.91962461375150029</v>
      </c>
      <c r="BK35" s="32">
        <v>0.90516332982086412</v>
      </c>
      <c r="BL35" s="32">
        <v>0.92811839323467227</v>
      </c>
      <c r="BM35" s="32">
        <v>0.92096944151738669</v>
      </c>
      <c r="BN35" s="32">
        <v>0.93697478991596639</v>
      </c>
      <c r="BO35" s="32">
        <v>0.92307692307692313</v>
      </c>
      <c r="BP35" s="32">
        <v>0.7902542372881356</v>
      </c>
      <c r="BQ35" s="32">
        <v>0.90169133192389006</v>
      </c>
      <c r="BR35" s="32">
        <v>0.90089263525397689</v>
      </c>
      <c r="BS35" s="32">
        <v>0.91641490433031214</v>
      </c>
      <c r="BT35" s="32">
        <v>0.94736842105263153</v>
      </c>
      <c r="BU35" s="32">
        <v>0.9501039501039501</v>
      </c>
      <c r="BV35" s="32">
        <v>0.92299687825182097</v>
      </c>
      <c r="BW35" s="32">
        <v>0.94758909853249473</v>
      </c>
      <c r="BX35" s="32">
        <v>0.92976939203354303</v>
      </c>
      <c r="BY35" s="32">
        <v>0.92976939203354303</v>
      </c>
      <c r="BZ35" s="32">
        <v>0.93485886233404225</v>
      </c>
      <c r="CA35" s="32">
        <v>0.94484911550468265</v>
      </c>
      <c r="CB35" s="32">
        <v>0.94380853277835586</v>
      </c>
      <c r="CC35" s="32">
        <v>0.93132154006243495</v>
      </c>
      <c r="CD35" s="32">
        <v>0.94172736732570239</v>
      </c>
      <c r="CE35" s="32">
        <v>0.94484911550468265</v>
      </c>
      <c r="CF35" s="32">
        <v>0.94484911550468265</v>
      </c>
      <c r="CG35" s="32">
        <v>0.93548387096774188</v>
      </c>
      <c r="CH35" s="32">
        <v>0.9409840939497548</v>
      </c>
      <c r="CI35" s="32">
        <v>0.97095435684647302</v>
      </c>
      <c r="CJ35" s="32">
        <v>0.9542143600416233</v>
      </c>
      <c r="CK35" s="32">
        <v>0.92531120331950212</v>
      </c>
      <c r="CL35" s="32">
        <v>0.93054136874361593</v>
      </c>
      <c r="CM35" s="32">
        <v>0.96770833333333328</v>
      </c>
      <c r="CN35" s="32">
        <v>0.93085655314757487</v>
      </c>
      <c r="CO35" s="32">
        <v>0.92982456140350878</v>
      </c>
      <c r="CP35" s="32">
        <v>0.94420153383366157</v>
      </c>
      <c r="CQ35" s="32">
        <v>0.9084287200832466</v>
      </c>
      <c r="CR35" s="32">
        <v>0.94159836065573765</v>
      </c>
      <c r="CS35" s="32">
        <v>0.91050988553590007</v>
      </c>
      <c r="CT35" s="32">
        <v>0.92715920915712802</v>
      </c>
      <c r="CU35" s="32">
        <v>0.94484911550468265</v>
      </c>
      <c r="CV35" s="32">
        <v>0.9406867845993756</v>
      </c>
      <c r="CW35" s="32">
        <v>0.91779396462018725</v>
      </c>
      <c r="CX35" s="32">
        <v>0.92728943430803679</v>
      </c>
      <c r="CY35" s="32">
        <v>0.94496365524402903</v>
      </c>
      <c r="CZ35" s="32">
        <v>0.93132154006243495</v>
      </c>
      <c r="DA35" s="32">
        <v>0.90634755463059313</v>
      </c>
      <c r="DB35" s="32">
        <v>0.90530697190426634</v>
      </c>
      <c r="DC35" s="32">
        <v>0.91779396462018725</v>
      </c>
      <c r="DD35" s="32">
        <v>0.92299687825182097</v>
      </c>
      <c r="DE35" s="32">
        <v>0.9219562955254943</v>
      </c>
      <c r="DF35" s="32">
        <v>0.92152669431983214</v>
      </c>
      <c r="DG35" s="32">
        <v>0.8366285119667014</v>
      </c>
      <c r="DH35" s="32">
        <v>0.91571279916753379</v>
      </c>
      <c r="DI35" s="32">
        <v>0.91987513007284083</v>
      </c>
      <c r="DJ35" s="32">
        <v>0.95114345114345111</v>
      </c>
      <c r="DK35" s="32">
        <v>0.93236212278876174</v>
      </c>
      <c r="DL35" s="32">
        <v>0.93983402489626555</v>
      </c>
      <c r="DM35" s="32">
        <v>0.92542016806722693</v>
      </c>
      <c r="DN35" s="32">
        <v>0.91728231544325456</v>
      </c>
      <c r="DO35" s="32">
        <v>0.91883454734651404</v>
      </c>
      <c r="DP35" s="32">
        <v>0.93451143451143448</v>
      </c>
      <c r="DQ35" s="32">
        <v>0.91259105098855364</v>
      </c>
      <c r="DR35" s="32">
        <v>0.91467221644120711</v>
      </c>
      <c r="DS35" s="32">
        <v>0.93132154006243495</v>
      </c>
      <c r="DT35" s="32">
        <v>0.93659043659043661</v>
      </c>
      <c r="DU35" s="32">
        <v>0.91060291060291065</v>
      </c>
      <c r="DV35" s="32">
        <v>0.9227320195062132</v>
      </c>
      <c r="DW35" s="32">
        <v>0.8940188877229801</v>
      </c>
      <c r="DX35" s="32">
        <v>0.9171038824763903</v>
      </c>
      <c r="DY35" s="32">
        <v>0.88772298006295902</v>
      </c>
      <c r="DZ35" s="32">
        <v>0.9084287200832466</v>
      </c>
      <c r="EA35" s="32">
        <v>0.89281997918834544</v>
      </c>
      <c r="EB35" s="32">
        <v>0.91987513007284083</v>
      </c>
      <c r="EC35" s="32">
        <v>0.91363163371488032</v>
      </c>
      <c r="ED35" s="32">
        <v>0.90480017333166329</v>
      </c>
      <c r="EE35" s="32">
        <v>0.7908428720083247</v>
      </c>
      <c r="EF35" s="32">
        <v>0.91779396462018725</v>
      </c>
      <c r="EG35" s="32">
        <v>0.78668054110301766</v>
      </c>
      <c r="EH35" s="32">
        <v>0.92173017507723998</v>
      </c>
      <c r="EI35" s="32">
        <v>0.9084287200832466</v>
      </c>
      <c r="EJ35" s="32">
        <v>0.91987513007284083</v>
      </c>
      <c r="EK35" s="32">
        <v>0.9084287200832466</v>
      </c>
      <c r="EL35" s="32">
        <v>0.87911144614972903</v>
      </c>
    </row>
    <row r="36" spans="2:142" x14ac:dyDescent="0.25">
      <c r="AL36" s="19" t="s">
        <v>288</v>
      </c>
      <c r="AM36" s="32">
        <v>0.92196776929601354</v>
      </c>
      <c r="AN36" s="32">
        <v>0.94847972972972971</v>
      </c>
      <c r="AO36" s="32">
        <v>0.92229729729729726</v>
      </c>
      <c r="AP36" s="32">
        <v>0.97979797979797978</v>
      </c>
      <c r="AQ36" s="32">
        <v>0.93797150041911148</v>
      </c>
      <c r="AR36" s="32">
        <v>0.93682460515378219</v>
      </c>
      <c r="AS36" s="32">
        <v>0.94585726004922066</v>
      </c>
      <c r="AT36" s="32">
        <v>0.9418851631061621</v>
      </c>
      <c r="AU36" s="32">
        <v>0.93708053691275173</v>
      </c>
      <c r="AV36" s="32">
        <v>0.95871180842279113</v>
      </c>
      <c r="AW36" s="32">
        <v>0.96243739565943243</v>
      </c>
      <c r="AX36" s="32">
        <v>0.97921862011637573</v>
      </c>
      <c r="AY36" s="32">
        <v>0.96160267111853093</v>
      </c>
      <c r="AZ36" s="32">
        <v>0.95659432387312182</v>
      </c>
      <c r="BA36" s="32">
        <v>0.96274834437086088</v>
      </c>
      <c r="BB36" s="32">
        <v>0.95977052863912349</v>
      </c>
      <c r="BC36" s="32">
        <v>0.91800507185122571</v>
      </c>
      <c r="BD36" s="32">
        <v>0.96121416526138281</v>
      </c>
      <c r="BE36" s="32">
        <v>0.92398648648648651</v>
      </c>
      <c r="BF36" s="32">
        <v>0.9341216216216216</v>
      </c>
      <c r="BG36" s="32">
        <v>0.94710327455919396</v>
      </c>
      <c r="BH36" s="32">
        <v>0.94957983193277307</v>
      </c>
      <c r="BI36" s="32">
        <v>0.94626364399664142</v>
      </c>
      <c r="BJ36" s="32">
        <v>0.94003915652990366</v>
      </c>
      <c r="BK36" s="32">
        <v>0.9185750636132316</v>
      </c>
      <c r="BL36" s="32">
        <v>0.92639593908629436</v>
      </c>
      <c r="BM36" s="32">
        <v>0.91455160744500841</v>
      </c>
      <c r="BN36" s="32">
        <v>0.93924050632911393</v>
      </c>
      <c r="BO36" s="32">
        <v>0.91631445477599327</v>
      </c>
      <c r="BP36" s="32">
        <v>0.79023972602739723</v>
      </c>
      <c r="BQ36" s="32">
        <v>0.8553082191780822</v>
      </c>
      <c r="BR36" s="32">
        <v>0.89437507377930292</v>
      </c>
      <c r="BS36" s="32">
        <v>0.94781144781144777</v>
      </c>
      <c r="BT36" s="32">
        <v>0.97056349873843561</v>
      </c>
      <c r="BU36" s="32">
        <v>0.94865319865319864</v>
      </c>
      <c r="BV36" s="32">
        <v>0.9631490787269682</v>
      </c>
      <c r="BW36" s="32">
        <v>0.96150627615062767</v>
      </c>
      <c r="BX36" s="32">
        <v>0.94556113902847572</v>
      </c>
      <c r="BY36" s="32">
        <v>0.94365012615643395</v>
      </c>
      <c r="BZ36" s="32">
        <v>0.95441353789508387</v>
      </c>
      <c r="CA36" s="32">
        <v>0.96877637130801686</v>
      </c>
      <c r="CB36" s="32">
        <v>0.97820620284995807</v>
      </c>
      <c r="CC36" s="32">
        <v>0.70460251046025102</v>
      </c>
      <c r="CD36" s="32">
        <v>0.97736797988264879</v>
      </c>
      <c r="CE36" s="32">
        <v>0.95942519019442096</v>
      </c>
      <c r="CF36" s="32">
        <v>0.97243107769423553</v>
      </c>
      <c r="CG36" s="32">
        <v>0.95608108108108103</v>
      </c>
      <c r="CH36" s="32">
        <v>0.93098434478151593</v>
      </c>
      <c r="CI36" s="32">
        <v>0.97552742616033761</v>
      </c>
      <c r="CJ36" s="32">
        <v>0.97815126050420165</v>
      </c>
      <c r="CK36" s="32">
        <v>0.95282224094355517</v>
      </c>
      <c r="CL36" s="32">
        <v>0.96286919831223627</v>
      </c>
      <c r="CM36" s="32">
        <v>0.96458684654300164</v>
      </c>
      <c r="CN36" s="32">
        <v>0.97651006711409394</v>
      </c>
      <c r="CO36" s="32">
        <v>0.98739495798319332</v>
      </c>
      <c r="CP36" s="32">
        <v>0.97112314250866005</v>
      </c>
      <c r="CQ36" s="32">
        <v>0.94843617920541001</v>
      </c>
      <c r="CR36" s="32">
        <v>0.96473551637279598</v>
      </c>
      <c r="CS36" s="32">
        <v>0.92742616033755276</v>
      </c>
      <c r="CT36" s="32">
        <v>0.97631133671742809</v>
      </c>
      <c r="CU36" s="32">
        <v>0.95523648648648651</v>
      </c>
      <c r="CV36" s="32">
        <v>0.96632996632996637</v>
      </c>
      <c r="CW36" s="32">
        <v>0.95696202531645569</v>
      </c>
      <c r="CX36" s="32">
        <v>0.95649109582372793</v>
      </c>
      <c r="CY36" s="32">
        <v>0.93155258764607685</v>
      </c>
      <c r="CZ36" s="32">
        <v>0.95899581589958161</v>
      </c>
      <c r="DA36" s="32">
        <v>0.93149540517961571</v>
      </c>
      <c r="DB36" s="32">
        <v>0.95930232558139539</v>
      </c>
      <c r="DC36" s="32">
        <v>0.94261603375527425</v>
      </c>
      <c r="DD36" s="32">
        <v>0.50504201680672267</v>
      </c>
      <c r="DE36" s="32">
        <v>0.95165394402035619</v>
      </c>
      <c r="DF36" s="32">
        <v>0.88295116126986051</v>
      </c>
      <c r="DG36" s="32">
        <v>0.93322062552831786</v>
      </c>
      <c r="DH36" s="32">
        <v>0.93964794635373006</v>
      </c>
      <c r="DI36" s="32">
        <v>0.9198988195615514</v>
      </c>
      <c r="DJ36" s="32">
        <v>0.96386554621848741</v>
      </c>
      <c r="DK36" s="32">
        <v>0.94217687074829937</v>
      </c>
      <c r="DL36" s="32">
        <v>0.96224832214765099</v>
      </c>
      <c r="DM36" s="32">
        <v>0.96127946127946129</v>
      </c>
      <c r="DN36" s="32">
        <v>0.94604822740535688</v>
      </c>
      <c r="DO36" s="32">
        <v>0.88823031329381885</v>
      </c>
      <c r="DP36" s="32">
        <v>0.95703454085930917</v>
      </c>
      <c r="DQ36" s="32">
        <v>0.91546914623837705</v>
      </c>
      <c r="DR36" s="32">
        <v>0.92010092514718256</v>
      </c>
      <c r="DS36" s="32">
        <v>0.90451832907075869</v>
      </c>
      <c r="DT36" s="32">
        <v>0.92790500424088207</v>
      </c>
      <c r="DU36" s="32">
        <v>0.9185750636132316</v>
      </c>
      <c r="DV36" s="32">
        <v>0.91883333178050852</v>
      </c>
      <c r="DW36" s="32">
        <v>0.9586497890295359</v>
      </c>
      <c r="DX36" s="32">
        <v>0.96719932716568546</v>
      </c>
      <c r="DY36" s="32">
        <v>0.93103448275862066</v>
      </c>
      <c r="DZ36" s="32">
        <v>0.95542472666105971</v>
      </c>
      <c r="EA36" s="32">
        <v>0.95696202531645569</v>
      </c>
      <c r="EB36" s="32">
        <v>0.96290050590219223</v>
      </c>
      <c r="EC36" s="32">
        <v>0.95949367088607596</v>
      </c>
      <c r="ED36" s="32">
        <v>0.95595207538851812</v>
      </c>
      <c r="EE36" s="32">
        <v>0.9434599156118143</v>
      </c>
      <c r="EF36" s="32">
        <v>0.97056349873843561</v>
      </c>
      <c r="EG36" s="32">
        <v>0.95703454085930917</v>
      </c>
      <c r="EH36" s="32">
        <v>0.96321070234113715</v>
      </c>
      <c r="EI36" s="32">
        <v>0.95274261603375532</v>
      </c>
      <c r="EJ36" s="32">
        <v>0.96221662468513858</v>
      </c>
      <c r="EK36" s="32">
        <v>0.96389588581024355</v>
      </c>
      <c r="EL36" s="32">
        <v>0.95901768343997629</v>
      </c>
    </row>
    <row r="37" spans="2:142" x14ac:dyDescent="0.25">
      <c r="AL37" s="19" t="s">
        <v>93</v>
      </c>
      <c r="AM37" s="32">
        <v>0.93997271487039569</v>
      </c>
      <c r="AN37" s="32">
        <v>0.98517520215633425</v>
      </c>
      <c r="AO37" s="32">
        <v>0.93997271487039569</v>
      </c>
      <c r="AP37" s="32">
        <v>0.97146739130434778</v>
      </c>
      <c r="AQ37" s="32">
        <v>0.97705802968960864</v>
      </c>
      <c r="AR37" s="32">
        <v>0.98084815321477425</v>
      </c>
      <c r="AS37" s="32">
        <v>0.96331521739130432</v>
      </c>
      <c r="AT37" s="32">
        <v>0.96540134621388007</v>
      </c>
      <c r="AU37" s="32">
        <v>0.96725784447476126</v>
      </c>
      <c r="AV37" s="32">
        <v>0.9811066126855601</v>
      </c>
      <c r="AW37" s="32">
        <v>0.94952251023192358</v>
      </c>
      <c r="AX37" s="32">
        <v>0.97177419354838712</v>
      </c>
      <c r="AY37" s="32">
        <v>0.98115746971736206</v>
      </c>
      <c r="AZ37" s="32">
        <v>0.95907230559345158</v>
      </c>
      <c r="BA37" s="32">
        <v>0.98790322580645162</v>
      </c>
      <c r="BB37" s="32">
        <v>0.9711134517225567</v>
      </c>
      <c r="BC37" s="32">
        <v>0.93360995850622408</v>
      </c>
      <c r="BD37" s="32">
        <v>0.97070572569906788</v>
      </c>
      <c r="BE37" s="32">
        <v>0.90529247910863508</v>
      </c>
      <c r="BF37" s="32">
        <v>0.92123769338959216</v>
      </c>
      <c r="BG37" s="32">
        <v>0.9877384196185286</v>
      </c>
      <c r="BH37" s="32">
        <v>0.98796791443850263</v>
      </c>
      <c r="BI37" s="32">
        <v>0.97950819672131151</v>
      </c>
      <c r="BJ37" s="32">
        <v>0.95515148392598026</v>
      </c>
      <c r="BK37" s="32">
        <v>0.95712309820193642</v>
      </c>
      <c r="BL37" s="32">
        <v>0.94052558782849238</v>
      </c>
      <c r="BM37" s="32">
        <v>0.91792065663474687</v>
      </c>
      <c r="BN37" s="32">
        <v>0.98486932599724897</v>
      </c>
      <c r="BO37" s="32">
        <v>0.86030428769017986</v>
      </c>
      <c r="BP37" s="32">
        <v>0.80443828016643548</v>
      </c>
      <c r="BQ37" s="32">
        <v>0.8796680497925311</v>
      </c>
      <c r="BR37" s="32">
        <v>0.90640704090165314</v>
      </c>
      <c r="BS37" s="32">
        <v>0.96823204419889508</v>
      </c>
      <c r="BT37" s="32">
        <v>0.96990424076607384</v>
      </c>
      <c r="BU37" s="32">
        <v>0.96361185983827491</v>
      </c>
      <c r="BV37" s="32">
        <v>0.99342105263157898</v>
      </c>
      <c r="BW37" s="32">
        <v>0.98790322580645162</v>
      </c>
      <c r="BX37" s="32">
        <v>0.95896032831737343</v>
      </c>
      <c r="BY37" s="32">
        <v>0.97986577181208057</v>
      </c>
      <c r="BZ37" s="32">
        <v>0.97455693191010406</v>
      </c>
      <c r="CA37" s="32">
        <v>0.94459459459459461</v>
      </c>
      <c r="CB37" s="32">
        <v>0.98809523809523814</v>
      </c>
      <c r="CC37" s="32">
        <v>0.948509485094851</v>
      </c>
      <c r="CD37" s="32">
        <v>0.97211155378486058</v>
      </c>
      <c r="CE37" s="32">
        <v>0.97840755735492579</v>
      </c>
      <c r="CF37" s="32">
        <v>0.98174706649282917</v>
      </c>
      <c r="CG37" s="32">
        <v>0.98402130492676432</v>
      </c>
      <c r="CH37" s="32">
        <v>0.97106954290629477</v>
      </c>
      <c r="CI37" s="32">
        <v>0.92953929539295388</v>
      </c>
      <c r="CJ37" s="32">
        <v>0.96662216288384517</v>
      </c>
      <c r="CK37" s="32">
        <v>0.93478260869565222</v>
      </c>
      <c r="CL37" s="32">
        <v>0.96933333333333338</v>
      </c>
      <c r="CM37" s="32">
        <v>0.96621621621621623</v>
      </c>
      <c r="CN37" s="32">
        <v>0.95799457994579951</v>
      </c>
      <c r="CO37" s="32">
        <v>0.94281729428172945</v>
      </c>
      <c r="CP37" s="32">
        <v>0.95247221296421858</v>
      </c>
      <c r="CQ37" s="32">
        <v>0.96216216216216222</v>
      </c>
      <c r="CR37" s="32">
        <v>0.98635743519781716</v>
      </c>
      <c r="CS37" s="32">
        <v>0.98521505376344087</v>
      </c>
      <c r="CT37" s="32">
        <v>0.98646820027063598</v>
      </c>
      <c r="CU37" s="32">
        <v>0.96825396825396826</v>
      </c>
      <c r="CV37" s="32">
        <v>0.98410596026490071</v>
      </c>
      <c r="CW37" s="32">
        <v>0.98677248677248675</v>
      </c>
      <c r="CX37" s="32">
        <v>0.97990503809791607</v>
      </c>
      <c r="CY37" s="32">
        <v>0.96765498652291104</v>
      </c>
      <c r="CZ37" s="32">
        <v>0.99348958333333337</v>
      </c>
      <c r="DA37" s="32">
        <v>0.96091644204851756</v>
      </c>
      <c r="DB37" s="32">
        <v>0.98423127463863336</v>
      </c>
      <c r="DC37" s="32">
        <v>0.97858099062918336</v>
      </c>
      <c r="DD37" s="32">
        <v>0.99211563731931673</v>
      </c>
      <c r="DE37" s="32">
        <v>0.9852348993288591</v>
      </c>
      <c r="DF37" s="32">
        <v>0.98031768768867911</v>
      </c>
      <c r="DG37" s="32">
        <v>0.95640326975476841</v>
      </c>
      <c r="DH37" s="32">
        <v>0.97551020408163269</v>
      </c>
      <c r="DI37" s="32">
        <v>0.94421768707482989</v>
      </c>
      <c r="DJ37" s="32">
        <v>0.97986577181208057</v>
      </c>
      <c r="DK37" s="32">
        <v>0.97711978465679672</v>
      </c>
      <c r="DL37" s="32">
        <v>0.97470039946737685</v>
      </c>
      <c r="DM37" s="32">
        <v>0.97860962566844922</v>
      </c>
      <c r="DN37" s="32">
        <v>0.96948953464513343</v>
      </c>
      <c r="DO37" s="32">
        <v>0.93252361673414308</v>
      </c>
      <c r="DP37" s="32">
        <v>0.98399999999999999</v>
      </c>
      <c r="DQ37" s="32">
        <v>0.96912751677852349</v>
      </c>
      <c r="DR37" s="32">
        <v>0.98389261744966439</v>
      </c>
      <c r="DS37" s="32">
        <v>0.96395193591455275</v>
      </c>
      <c r="DT37" s="32">
        <v>0.97560975609756095</v>
      </c>
      <c r="DU37" s="32">
        <v>0.98275862068965514</v>
      </c>
      <c r="DV37" s="32">
        <v>0.97026629480915716</v>
      </c>
      <c r="DW37" s="32">
        <v>0.93860845839017737</v>
      </c>
      <c r="DX37" s="32">
        <v>0.98362892223738063</v>
      </c>
      <c r="DY37" s="32">
        <v>0.94587280108254401</v>
      </c>
      <c r="DZ37" s="32">
        <v>0.97342657342657346</v>
      </c>
      <c r="EA37" s="32">
        <v>0.97199999999999998</v>
      </c>
      <c r="EB37" s="32">
        <v>0.96542553191489366</v>
      </c>
      <c r="EC37" s="32">
        <v>0.97875166002656044</v>
      </c>
      <c r="ED37" s="32">
        <v>0.96538770672544705</v>
      </c>
      <c r="EE37" s="32">
        <v>0.95862068965517244</v>
      </c>
      <c r="EF37" s="32">
        <v>0.97680763983628927</v>
      </c>
      <c r="EG37" s="32">
        <v>0.94368131868131866</v>
      </c>
      <c r="EH37" s="32">
        <v>0.98497267759562845</v>
      </c>
      <c r="EI37" s="32">
        <v>0.98025387870239777</v>
      </c>
      <c r="EJ37" s="32">
        <v>0.96978021978021978</v>
      </c>
      <c r="EK37" s="32">
        <v>0.97534246575342465</v>
      </c>
      <c r="EL37" s="32">
        <v>0.96992269857206448</v>
      </c>
    </row>
    <row r="38" spans="2:142" x14ac:dyDescent="0.25">
      <c r="AL38" s="19" t="s">
        <v>94</v>
      </c>
      <c r="AM38" s="32">
        <v>0.81447368421052635</v>
      </c>
      <c r="AN38" s="32">
        <v>0.79733333333333334</v>
      </c>
      <c r="AO38" s="32">
        <v>0.76819407008086249</v>
      </c>
      <c r="AP38" s="32">
        <v>0.79245283018867929</v>
      </c>
      <c r="AQ38" s="32">
        <v>0.80526315789473679</v>
      </c>
      <c r="AR38" s="32">
        <v>0.79473684210526319</v>
      </c>
      <c r="AS38" s="32">
        <v>0.79868421052631577</v>
      </c>
      <c r="AT38" s="32">
        <v>0.79587687547710251</v>
      </c>
      <c r="AU38" s="32">
        <v>0.82091503267973853</v>
      </c>
      <c r="AV38" s="32">
        <v>0.77236842105263159</v>
      </c>
      <c r="AW38" s="32">
        <v>0.77516339869281048</v>
      </c>
      <c r="AX38" s="32">
        <v>0.8130718954248366</v>
      </c>
      <c r="AY38" s="32">
        <v>0.80915032679738563</v>
      </c>
      <c r="AZ38" s="32">
        <v>0.8236842105263158</v>
      </c>
      <c r="BA38" s="32">
        <v>0.80526315789473679</v>
      </c>
      <c r="BB38" s="32">
        <v>0.80280234900977931</v>
      </c>
      <c r="BC38" s="32">
        <v>0.79377431906614782</v>
      </c>
      <c r="BD38" s="32">
        <v>0.81960784313725488</v>
      </c>
      <c r="BE38" s="32">
        <v>0.79051383399209485</v>
      </c>
      <c r="BF38" s="32">
        <v>0.80895915678524377</v>
      </c>
      <c r="BG38" s="32">
        <v>0.80025940337224388</v>
      </c>
      <c r="BH38" s="32">
        <v>0.8248366013071895</v>
      </c>
      <c r="BI38" s="32">
        <v>0.8119325551232166</v>
      </c>
      <c r="BJ38" s="32">
        <v>0.8071262446833416</v>
      </c>
      <c r="BK38" s="32">
        <v>0.7477124183006536</v>
      </c>
      <c r="BL38" s="32">
        <v>0.8248366013071895</v>
      </c>
      <c r="BM38" s="32">
        <v>0.75418275418275416</v>
      </c>
      <c r="BN38" s="32">
        <v>0.81853281853281856</v>
      </c>
      <c r="BO38" s="32">
        <v>0.69019607843137254</v>
      </c>
      <c r="BP38" s="32">
        <v>0.74903474903474898</v>
      </c>
      <c r="BQ38" s="32">
        <v>0.68366013071895426</v>
      </c>
      <c r="BR38" s="32">
        <v>0.75259365007264167</v>
      </c>
      <c r="BS38" s="32">
        <v>0.84980744544287545</v>
      </c>
      <c r="BT38" s="32">
        <v>0.81724581724581724</v>
      </c>
      <c r="BU38" s="32">
        <v>0.82156611039794614</v>
      </c>
      <c r="BV38" s="32">
        <v>0.83440308087291404</v>
      </c>
      <c r="BW38" s="32">
        <v>0.78048780487804881</v>
      </c>
      <c r="BX38" s="32">
        <v>0.81001283697047499</v>
      </c>
      <c r="BY38" s="32">
        <v>0.7869062901155327</v>
      </c>
      <c r="BZ38" s="32">
        <v>0.81434705513194416</v>
      </c>
      <c r="CA38" s="32">
        <v>0.81910828025477711</v>
      </c>
      <c r="CB38" s="32">
        <v>0.82028241335044927</v>
      </c>
      <c r="CC38" s="32">
        <v>0.79108280254777075</v>
      </c>
      <c r="CD38" s="32">
        <v>0.81401273885350323</v>
      </c>
      <c r="CE38" s="32">
        <v>0.84338896020539156</v>
      </c>
      <c r="CF38" s="32">
        <v>0.81771501925545576</v>
      </c>
      <c r="CG38" s="32">
        <v>0.83311938382541717</v>
      </c>
      <c r="CH38" s="32">
        <v>0.81981565689896641</v>
      </c>
      <c r="CI38" s="32">
        <v>0.82547770700636947</v>
      </c>
      <c r="CJ38" s="32">
        <v>0.78980891719745228</v>
      </c>
      <c r="CK38" s="32">
        <v>0.81146496815286628</v>
      </c>
      <c r="CL38" s="32">
        <v>0.80509554140127393</v>
      </c>
      <c r="CM38" s="32">
        <v>0.81656050955414017</v>
      </c>
      <c r="CN38" s="32">
        <v>0.77324840764331215</v>
      </c>
      <c r="CO38" s="32">
        <v>0.80509554140127393</v>
      </c>
      <c r="CP38" s="32">
        <v>0.80382165605095535</v>
      </c>
      <c r="CQ38" s="32">
        <v>0.85387547649301143</v>
      </c>
      <c r="CR38" s="32">
        <v>0.82420382165605099</v>
      </c>
      <c r="CS38" s="32">
        <v>0.84625158831003811</v>
      </c>
      <c r="CT38" s="32">
        <v>0.85133418043202036</v>
      </c>
      <c r="CU38" s="32">
        <v>0.82802547770700641</v>
      </c>
      <c r="CV38" s="32">
        <v>0.80764331210191087</v>
      </c>
      <c r="CW38" s="32">
        <v>0.81146496815286628</v>
      </c>
      <c r="CX38" s="32">
        <v>0.83182840355041499</v>
      </c>
      <c r="CY38" s="32">
        <v>0.84096692111959293</v>
      </c>
      <c r="CZ38" s="32">
        <v>0.86912325285895808</v>
      </c>
      <c r="DA38" s="32">
        <v>0.80788804071246823</v>
      </c>
      <c r="DB38" s="32">
        <v>0.8193384223918575</v>
      </c>
      <c r="DC38" s="32">
        <v>0.8193384223918575</v>
      </c>
      <c r="DD38" s="32">
        <v>0.84223918575063617</v>
      </c>
      <c r="DE38" s="32">
        <v>0.81424936386768443</v>
      </c>
      <c r="DF38" s="32">
        <v>0.83044908701329345</v>
      </c>
      <c r="DG38" s="32">
        <v>0.83969465648854957</v>
      </c>
      <c r="DH38" s="32">
        <v>0.82697201017811706</v>
      </c>
      <c r="DI38" s="32">
        <v>0.79389312977099236</v>
      </c>
      <c r="DJ38" s="32">
        <v>0.81170483460559795</v>
      </c>
      <c r="DK38" s="32">
        <v>0.86633039092055486</v>
      </c>
      <c r="DL38" s="32">
        <v>0.83858764186633039</v>
      </c>
      <c r="DM38" s="32">
        <v>0.83969465648854957</v>
      </c>
      <c r="DN38" s="32">
        <v>0.83098247433124162</v>
      </c>
      <c r="DO38" s="32">
        <v>0.80534351145038163</v>
      </c>
      <c r="DP38" s="32">
        <v>0.82315521628498722</v>
      </c>
      <c r="DQ38" s="32">
        <v>0.82061068702290074</v>
      </c>
      <c r="DR38" s="32">
        <v>0.83460559796437661</v>
      </c>
      <c r="DS38" s="32">
        <v>0.81552162849872778</v>
      </c>
      <c r="DT38" s="32">
        <v>0.82697201017811706</v>
      </c>
      <c r="DU38" s="32">
        <v>0.83333333333333337</v>
      </c>
      <c r="DV38" s="32">
        <v>0.82279171210468927</v>
      </c>
      <c r="DW38" s="32">
        <v>0.82315521628498722</v>
      </c>
      <c r="DX38" s="32">
        <v>0.83059418457648548</v>
      </c>
      <c r="DY38" s="32">
        <v>0.80025445292620867</v>
      </c>
      <c r="DZ38" s="32">
        <v>0.81043256997455471</v>
      </c>
      <c r="EA38" s="32">
        <v>0.80404551201011376</v>
      </c>
      <c r="EB38" s="32">
        <v>0.82300884955752207</v>
      </c>
      <c r="EC38" s="32">
        <v>0.84070796460176989</v>
      </c>
      <c r="ED38" s="32">
        <v>0.81888553570452005</v>
      </c>
      <c r="EE38" s="32">
        <v>0.81552162849872778</v>
      </c>
      <c r="EF38" s="32">
        <v>0.82951653944020354</v>
      </c>
      <c r="EG38" s="32">
        <v>0.80152671755725191</v>
      </c>
      <c r="EH38" s="32">
        <v>0.83333333333333337</v>
      </c>
      <c r="EI38" s="32">
        <v>0.82442748091603058</v>
      </c>
      <c r="EJ38" s="32">
        <v>0.83650190114068446</v>
      </c>
      <c r="EK38" s="32">
        <v>0.84732824427480913</v>
      </c>
      <c r="EL38" s="32">
        <v>0.82687940645157731</v>
      </c>
    </row>
    <row r="39" spans="2:142" x14ac:dyDescent="0.25">
      <c r="AL39" s="19" t="s">
        <v>95</v>
      </c>
      <c r="AM39" s="32">
        <v>0.92679355783308937</v>
      </c>
      <c r="AN39" s="32">
        <v>0.96778916544655935</v>
      </c>
      <c r="AO39" s="32">
        <v>0.93631039531478766</v>
      </c>
      <c r="AP39" s="32">
        <v>0.97877013177159589</v>
      </c>
      <c r="AQ39" s="32">
        <v>0.94070278184480238</v>
      </c>
      <c r="AR39" s="32">
        <v>0.95540935672514615</v>
      </c>
      <c r="AS39" s="32">
        <v>0.96204379562043796</v>
      </c>
      <c r="AT39" s="32">
        <v>0.95254559779377423</v>
      </c>
      <c r="AU39" s="32">
        <v>0.95823842065299925</v>
      </c>
      <c r="AV39" s="32">
        <v>0.94653614457831325</v>
      </c>
      <c r="AW39" s="32">
        <v>0.93902439024390238</v>
      </c>
      <c r="AX39" s="32">
        <v>0.97047691143073433</v>
      </c>
      <c r="AY39" s="32">
        <v>0.97501892505677512</v>
      </c>
      <c r="AZ39" s="32">
        <v>0.96520423600605143</v>
      </c>
      <c r="BA39" s="32">
        <v>0.95773584905660381</v>
      </c>
      <c r="BB39" s="32">
        <v>0.95889069671791127</v>
      </c>
      <c r="BC39" s="32">
        <v>0.93183520599250935</v>
      </c>
      <c r="BD39" s="32">
        <v>0.98281016442451419</v>
      </c>
      <c r="BE39" s="32">
        <v>0.94981273408239697</v>
      </c>
      <c r="BF39" s="32">
        <v>0.94717261904761907</v>
      </c>
      <c r="BG39" s="32">
        <v>0.94796380090497734</v>
      </c>
      <c r="BH39" s="32">
        <v>0.96185489902767385</v>
      </c>
      <c r="BI39" s="32">
        <v>0.95677655677655682</v>
      </c>
      <c r="BJ39" s="32">
        <v>0.95403228289374975</v>
      </c>
      <c r="BK39" s="32">
        <v>0.93975018368846441</v>
      </c>
      <c r="BL39" s="32">
        <v>0.94552238805970146</v>
      </c>
      <c r="BM39" s="32">
        <v>0.93948339483394838</v>
      </c>
      <c r="BN39" s="32">
        <v>0.9400887573964497</v>
      </c>
      <c r="BO39" s="32">
        <v>0.92142327650111189</v>
      </c>
      <c r="BP39" s="32">
        <v>0.85157972079353417</v>
      </c>
      <c r="BQ39" s="32">
        <v>0.85315712187958881</v>
      </c>
      <c r="BR39" s="32">
        <v>0.91300069187897126</v>
      </c>
      <c r="BS39" s="32">
        <v>0.9312056737588652</v>
      </c>
      <c r="BT39" s="32">
        <v>0.95591476855253488</v>
      </c>
      <c r="BU39" s="32">
        <v>0.94293865905848784</v>
      </c>
      <c r="BV39" s="32">
        <v>0.96285914505956549</v>
      </c>
      <c r="BW39" s="32">
        <v>0.94968107725017714</v>
      </c>
      <c r="BX39" s="32">
        <v>0.95335276967930027</v>
      </c>
      <c r="BY39" s="32">
        <v>0.97096317280453259</v>
      </c>
      <c r="BZ39" s="32">
        <v>0.9524164665947803</v>
      </c>
      <c r="CA39" s="32">
        <v>0.96463932107496464</v>
      </c>
      <c r="CB39" s="32">
        <v>0.95985663082437278</v>
      </c>
      <c r="CC39" s="32">
        <v>0.9401408450704225</v>
      </c>
      <c r="CD39" s="32">
        <v>0.9543539325842697</v>
      </c>
      <c r="CE39" s="32">
        <v>0.96996336996336996</v>
      </c>
      <c r="CF39" s="32">
        <v>0.96755994358251063</v>
      </c>
      <c r="CG39" s="32">
        <v>0.96767083027185896</v>
      </c>
      <c r="CH39" s="32">
        <v>0.96059783905310991</v>
      </c>
      <c r="CI39" s="32">
        <v>0.9456282145481264</v>
      </c>
      <c r="CJ39" s="32">
        <v>0.96742209631728049</v>
      </c>
      <c r="CK39" s="32">
        <v>0.91891891891891897</v>
      </c>
      <c r="CL39" s="32">
        <v>0.9765291607396871</v>
      </c>
      <c r="CM39" s="32">
        <v>0.97878566203365036</v>
      </c>
      <c r="CN39" s="32">
        <v>0.98025387870239777</v>
      </c>
      <c r="CO39" s="32">
        <v>0.96700143472022959</v>
      </c>
      <c r="CP39" s="32">
        <v>0.96207705228289875</v>
      </c>
      <c r="CQ39" s="32">
        <v>0.93883566691230658</v>
      </c>
      <c r="CR39" s="32">
        <v>0.96778811739441661</v>
      </c>
      <c r="CS39" s="32">
        <v>0.95503988397389417</v>
      </c>
      <c r="CT39" s="32">
        <v>0.98037841625788369</v>
      </c>
      <c r="CU39" s="32">
        <v>0.9613180515759312</v>
      </c>
      <c r="CV39" s="32">
        <v>0.97938144329896903</v>
      </c>
      <c r="CW39" s="32">
        <v>0.95749279538904897</v>
      </c>
      <c r="CX39" s="32">
        <v>0.9628906249717788</v>
      </c>
      <c r="CY39" s="32">
        <v>0.92479523454951595</v>
      </c>
      <c r="CZ39" s="32">
        <v>0.98411552346570397</v>
      </c>
      <c r="DA39" s="32">
        <v>0.9496296296296296</v>
      </c>
      <c r="DB39" s="32">
        <v>0.96035242290748901</v>
      </c>
      <c r="DC39" s="32">
        <v>0.97433962264150942</v>
      </c>
      <c r="DD39" s="32">
        <v>0.97222222222222221</v>
      </c>
      <c r="DE39" s="32">
        <v>0.96911764705882353</v>
      </c>
      <c r="DF39" s="32">
        <v>0.96208175749641345</v>
      </c>
      <c r="DG39" s="32">
        <v>0.94530672579453068</v>
      </c>
      <c r="DH39" s="32">
        <v>0.98040638606676345</v>
      </c>
      <c r="DI39" s="32">
        <v>0.94004441154700225</v>
      </c>
      <c r="DJ39" s="32">
        <v>0.97520058351568195</v>
      </c>
      <c r="DK39" s="32">
        <v>0.96423357664233578</v>
      </c>
      <c r="DL39" s="32">
        <v>0.97224251278305329</v>
      </c>
      <c r="DM39" s="32">
        <v>0.97291361639824303</v>
      </c>
      <c r="DN39" s="32">
        <v>0.96433540182108712</v>
      </c>
      <c r="DO39" s="32">
        <v>0.90680473372781067</v>
      </c>
      <c r="DP39" s="32">
        <v>0.96943231441048039</v>
      </c>
      <c r="DQ39" s="32">
        <v>0.92439372325249647</v>
      </c>
      <c r="DR39" s="32">
        <v>0.986784140969163</v>
      </c>
      <c r="DS39" s="32">
        <v>0.92606149341142019</v>
      </c>
      <c r="DT39" s="32">
        <v>0.97360703812316718</v>
      </c>
      <c r="DU39" s="32">
        <v>0.97426470588235292</v>
      </c>
      <c r="DV39" s="32">
        <v>0.95162116425384158</v>
      </c>
      <c r="DW39" s="32">
        <v>0.92415316642120771</v>
      </c>
      <c r="DX39" s="32">
        <v>0.95357406042741344</v>
      </c>
      <c r="DY39" s="32">
        <v>0.91288433382137624</v>
      </c>
      <c r="DZ39" s="32">
        <v>0.97816265060240959</v>
      </c>
      <c r="EA39" s="32">
        <v>0.94689603590127147</v>
      </c>
      <c r="EB39" s="32">
        <v>0.95952906548933037</v>
      </c>
      <c r="EC39" s="32">
        <v>0.96838235294117647</v>
      </c>
      <c r="ED39" s="32">
        <v>0.94908309508631206</v>
      </c>
      <c r="EE39" s="32">
        <v>0.92562592047128134</v>
      </c>
      <c r="EF39" s="32">
        <v>0.96985294117647058</v>
      </c>
      <c r="EG39" s="32">
        <v>0.91101385849744709</v>
      </c>
      <c r="EH39" s="32">
        <v>0.97645327446651953</v>
      </c>
      <c r="EI39" s="32">
        <v>0.98078344419807839</v>
      </c>
      <c r="EJ39" s="32">
        <v>0.98377581120943958</v>
      </c>
      <c r="EK39" s="32">
        <v>0.97155361050328226</v>
      </c>
      <c r="EL39" s="32">
        <v>0.95986555150321706</v>
      </c>
    </row>
    <row r="40" spans="2:142" x14ac:dyDescent="0.25">
      <c r="AL40" s="19" t="s">
        <v>96</v>
      </c>
      <c r="AM40" s="32">
        <v>0.8951048951048951</v>
      </c>
      <c r="AN40" s="32">
        <v>0.95539906103286387</v>
      </c>
      <c r="AO40" s="32">
        <v>0.96037296037296038</v>
      </c>
      <c r="AP40" s="32">
        <v>0.97921478060046185</v>
      </c>
      <c r="AQ40" s="32">
        <v>0.98364485981308414</v>
      </c>
      <c r="AR40" s="32">
        <v>0.96713615023474175</v>
      </c>
      <c r="AS40" s="32">
        <v>0.97887323943661975</v>
      </c>
      <c r="AT40" s="32">
        <v>0.9599637066565182</v>
      </c>
      <c r="AU40" s="32">
        <v>0.93877551020408168</v>
      </c>
      <c r="AV40" s="32">
        <v>0.98156682027649766</v>
      </c>
      <c r="AW40" s="32">
        <v>0.95011337868480727</v>
      </c>
      <c r="AX40" s="32">
        <v>0.98169336384439354</v>
      </c>
      <c r="AY40" s="32">
        <v>0.97025171624713957</v>
      </c>
      <c r="AZ40" s="32">
        <v>0.97447795823665895</v>
      </c>
      <c r="BA40" s="32">
        <v>0.95402298850574707</v>
      </c>
      <c r="BB40" s="32">
        <v>0.96441453371418928</v>
      </c>
      <c r="BC40" s="32">
        <v>0.89772727272727271</v>
      </c>
      <c r="BD40" s="32">
        <v>0.97228637413394914</v>
      </c>
      <c r="BE40" s="32">
        <v>0.94954128440366969</v>
      </c>
      <c r="BF40" s="32">
        <v>0.98368298368298368</v>
      </c>
      <c r="BG40" s="32">
        <v>0.92660550458715596</v>
      </c>
      <c r="BH40" s="32">
        <v>0.97940503432494275</v>
      </c>
      <c r="BI40" s="32">
        <v>0.97025171624713957</v>
      </c>
      <c r="BJ40" s="32">
        <v>0.95421431001530188</v>
      </c>
      <c r="BK40" s="32">
        <v>0.87323943661971826</v>
      </c>
      <c r="BL40" s="32">
        <v>0.92773892773892774</v>
      </c>
      <c r="BM40" s="32">
        <v>0.94131455399061037</v>
      </c>
      <c r="BN40" s="32">
        <v>0.971830985915493</v>
      </c>
      <c r="BO40" s="32">
        <v>0.80751173708920188</v>
      </c>
      <c r="BP40" s="32">
        <v>0.7699530516431925</v>
      </c>
      <c r="BQ40" s="32">
        <v>0.76056338028169013</v>
      </c>
      <c r="BR40" s="32">
        <v>0.86459315332554776</v>
      </c>
      <c r="BS40" s="32">
        <v>0.9678899082568807</v>
      </c>
      <c r="BT40" s="32">
        <v>0.98122065727699526</v>
      </c>
      <c r="BU40" s="32">
        <v>0.91972477064220182</v>
      </c>
      <c r="BV40" s="32">
        <v>1</v>
      </c>
      <c r="BW40" s="32">
        <v>0.97477064220183485</v>
      </c>
      <c r="BX40" s="32">
        <v>0.97652582159624413</v>
      </c>
      <c r="BY40" s="32">
        <v>0.96244131455399062</v>
      </c>
      <c r="BZ40" s="32">
        <v>0.96893901636116386</v>
      </c>
      <c r="CA40" s="32">
        <v>0.89977728285077951</v>
      </c>
      <c r="CB40" s="32">
        <v>0.97291196388261847</v>
      </c>
      <c r="CC40" s="32">
        <v>0.93318485523385297</v>
      </c>
      <c r="CD40" s="32">
        <v>0.95881006864988561</v>
      </c>
      <c r="CE40" s="32">
        <v>0.95464852607709749</v>
      </c>
      <c r="CF40" s="32">
        <v>0.98412698412698407</v>
      </c>
      <c r="CG40" s="32">
        <v>0.96825396825396826</v>
      </c>
      <c r="CH40" s="32">
        <v>0.95310194986788388</v>
      </c>
      <c r="CI40" s="32">
        <v>0.91799544419134393</v>
      </c>
      <c r="CJ40" s="32">
        <v>0.98855835240274603</v>
      </c>
      <c r="CK40" s="32">
        <v>0.9675174013921114</v>
      </c>
      <c r="CL40" s="32">
        <v>0.9678899082568807</v>
      </c>
      <c r="CM40" s="32">
        <v>0.96527777777777779</v>
      </c>
      <c r="CN40" s="32">
        <v>0.9610983981693364</v>
      </c>
      <c r="CO40" s="32">
        <v>0.94907407407407407</v>
      </c>
      <c r="CP40" s="32">
        <v>0.95963019375203851</v>
      </c>
      <c r="CQ40" s="32">
        <v>0.90375586854460099</v>
      </c>
      <c r="CR40" s="32">
        <v>0.93503480278422269</v>
      </c>
      <c r="CS40" s="32">
        <v>0.95305164319248825</v>
      </c>
      <c r="CT40" s="32">
        <v>0.97887323943661975</v>
      </c>
      <c r="CU40" s="32">
        <v>0.92253521126760563</v>
      </c>
      <c r="CV40" s="32">
        <v>0.95813953488372094</v>
      </c>
      <c r="CW40" s="32">
        <v>0.95794392523364491</v>
      </c>
      <c r="CX40" s="32">
        <v>0.94419060362041485</v>
      </c>
      <c r="CY40" s="32">
        <v>0.90990990990990994</v>
      </c>
      <c r="CZ40" s="32">
        <v>0.98601398601398604</v>
      </c>
      <c r="DA40" s="32">
        <v>0.94144144144144148</v>
      </c>
      <c r="DB40" s="32">
        <v>0.94545454545454544</v>
      </c>
      <c r="DC40" s="32">
        <v>0.96330275229357798</v>
      </c>
      <c r="DD40" s="32">
        <v>0.96487119437939106</v>
      </c>
      <c r="DE40" s="32">
        <v>0.96330275229357798</v>
      </c>
      <c r="DF40" s="32">
        <v>0.9534709402552044</v>
      </c>
      <c r="DG40" s="32">
        <v>0.86854460093896713</v>
      </c>
      <c r="DH40" s="32">
        <v>0.95581395348837206</v>
      </c>
      <c r="DI40" s="32">
        <v>0.86619718309859151</v>
      </c>
      <c r="DJ40" s="32">
        <v>0.93127962085308058</v>
      </c>
      <c r="DK40" s="32">
        <v>0.98375870069605564</v>
      </c>
      <c r="DL40" s="32">
        <v>0.92325581395348832</v>
      </c>
      <c r="DM40" s="32">
        <v>0.93006993006993011</v>
      </c>
      <c r="DN40" s="32">
        <v>0.9227028290140693</v>
      </c>
      <c r="DO40" s="32">
        <v>0.94976076555023925</v>
      </c>
      <c r="DP40" s="32">
        <v>0.96445497630331756</v>
      </c>
      <c r="DQ40" s="32">
        <v>0.97738693467336679</v>
      </c>
      <c r="DR40" s="32">
        <v>0.95981087470449178</v>
      </c>
      <c r="DS40" s="32">
        <v>0.91626794258373201</v>
      </c>
      <c r="DT40" s="32">
        <v>0.95023696682464454</v>
      </c>
      <c r="DU40" s="32">
        <v>0.95893719806763289</v>
      </c>
      <c r="DV40" s="32">
        <v>0.95383652267248942</v>
      </c>
      <c r="DW40" s="32">
        <v>0.90736342042755347</v>
      </c>
      <c r="DX40" s="32">
        <v>0.94272076372315039</v>
      </c>
      <c r="DY40" s="32">
        <v>0.95011876484560565</v>
      </c>
      <c r="DZ40" s="32">
        <v>0.9642857142857143</v>
      </c>
      <c r="EA40" s="32">
        <v>0.93586698337292162</v>
      </c>
      <c r="EB40" s="32">
        <v>0.93301435406698563</v>
      </c>
      <c r="EC40" s="32">
        <v>0.94497607655502391</v>
      </c>
      <c r="ED40" s="32">
        <v>0.9397637253252793</v>
      </c>
      <c r="EE40" s="32">
        <v>0.94786729857819907</v>
      </c>
      <c r="EF40" s="32">
        <v>0.97862232779097391</v>
      </c>
      <c r="EG40" s="32">
        <v>0.96411483253588515</v>
      </c>
      <c r="EH40" s="32">
        <v>0.96235294117647063</v>
      </c>
      <c r="EI40" s="32">
        <v>0.99043062200956933</v>
      </c>
      <c r="EJ40" s="32">
        <v>0.99527186761229314</v>
      </c>
      <c r="EK40" s="32">
        <v>0.98104265402843605</v>
      </c>
      <c r="EL40" s="32">
        <v>0.97424322053311818</v>
      </c>
    </row>
    <row r="41" spans="2:142" x14ac:dyDescent="0.25">
      <c r="AL41" s="19" t="s">
        <v>97</v>
      </c>
      <c r="AM41" s="32">
        <v>0.99068322981366463</v>
      </c>
      <c r="AN41" s="32">
        <v>0.96583850931677018</v>
      </c>
      <c r="AO41" s="32">
        <v>0.99378881987577639</v>
      </c>
      <c r="AP41" s="32">
        <v>0.97515527950310554</v>
      </c>
      <c r="AQ41" s="32">
        <v>0.97204968944099379</v>
      </c>
      <c r="AR41" s="32">
        <v>0.97204968944099379</v>
      </c>
      <c r="AS41" s="32">
        <v>0.97204968944099379</v>
      </c>
      <c r="AT41" s="32">
        <v>0.9773735581188997</v>
      </c>
      <c r="AU41" s="32">
        <v>0.99068322981366463</v>
      </c>
      <c r="AV41" s="32">
        <v>0.97515527950310554</v>
      </c>
      <c r="AW41" s="32">
        <v>0.99068322981366463</v>
      </c>
      <c r="AX41" s="32">
        <v>0.97515527950310554</v>
      </c>
      <c r="AY41" s="32">
        <v>0.96583850931677018</v>
      </c>
      <c r="AZ41" s="32">
        <v>0.96273291925465843</v>
      </c>
      <c r="BA41" s="32">
        <v>0.97204968944099379</v>
      </c>
      <c r="BB41" s="32">
        <v>0.97604259094942336</v>
      </c>
      <c r="BC41" s="32">
        <v>0.99689440993788825</v>
      </c>
      <c r="BD41" s="32">
        <v>0.97515527950310554</v>
      </c>
      <c r="BE41" s="32">
        <v>0.99689440993788825</v>
      </c>
      <c r="BF41" s="32">
        <v>0.97204968944099379</v>
      </c>
      <c r="BG41" s="32">
        <v>0.97515527950310554</v>
      </c>
      <c r="BH41" s="32">
        <v>0.96273291925465843</v>
      </c>
      <c r="BI41" s="32">
        <v>0.97515527950310554</v>
      </c>
      <c r="BJ41" s="32">
        <v>0.979148181011535</v>
      </c>
      <c r="BK41" s="32">
        <v>0.96894409937888204</v>
      </c>
      <c r="BL41" s="32">
        <v>0.95652173913043481</v>
      </c>
      <c r="BM41" s="32">
        <v>0.95962732919254656</v>
      </c>
      <c r="BN41" s="32">
        <v>0.97204968944099379</v>
      </c>
      <c r="BO41" s="32">
        <v>0.94099378881987583</v>
      </c>
      <c r="BP41" s="32">
        <v>0.85093167701863359</v>
      </c>
      <c r="BQ41" s="32">
        <v>0.90993788819875776</v>
      </c>
      <c r="BR41" s="32">
        <v>0.93700088731144626</v>
      </c>
      <c r="BS41" s="32">
        <v>0.97204968944099379</v>
      </c>
      <c r="BT41" s="32">
        <v>0.95652173913043481</v>
      </c>
      <c r="BU41" s="32">
        <v>1</v>
      </c>
      <c r="BV41" s="32">
        <v>0.97515527950310554</v>
      </c>
      <c r="BW41" s="32">
        <v>0.97204968944099379</v>
      </c>
      <c r="BX41" s="32">
        <v>0.99068322981366463</v>
      </c>
      <c r="BY41" s="32">
        <v>0.97515527950310554</v>
      </c>
      <c r="BZ41" s="32">
        <v>0.97737355811889981</v>
      </c>
      <c r="CA41" s="32">
        <v>0.97272727272727277</v>
      </c>
      <c r="CB41" s="32">
        <v>0.96273291925465843</v>
      </c>
      <c r="CC41" s="32">
        <v>0.97272727272727277</v>
      </c>
      <c r="CD41" s="32">
        <v>0.96969696969696972</v>
      </c>
      <c r="CE41" s="32">
        <v>0.97272727272727277</v>
      </c>
      <c r="CF41" s="32">
        <v>0.97575757575757571</v>
      </c>
      <c r="CG41" s="32">
        <v>0.97575757575757571</v>
      </c>
      <c r="CH41" s="32">
        <v>0.97173240837837116</v>
      </c>
      <c r="CI41" s="32">
        <v>0.97272727272727277</v>
      </c>
      <c r="CJ41" s="32">
        <v>0.97575757575757571</v>
      </c>
      <c r="CK41" s="32">
        <v>0.97272727272727277</v>
      </c>
      <c r="CL41" s="32">
        <v>0.97272727272727277</v>
      </c>
      <c r="CM41" s="32">
        <v>0.97272727272727277</v>
      </c>
      <c r="CN41" s="32">
        <v>0.97575757575757571</v>
      </c>
      <c r="CO41" s="32">
        <v>0.97575757575757571</v>
      </c>
      <c r="CP41" s="32">
        <v>0.97402597402597402</v>
      </c>
      <c r="CQ41" s="32">
        <v>0.97515527950310554</v>
      </c>
      <c r="CR41" s="32">
        <v>0.96969696969696972</v>
      </c>
      <c r="CS41" s="32">
        <v>0.97515527950310554</v>
      </c>
      <c r="CT41" s="32">
        <v>0.96969696969696972</v>
      </c>
      <c r="CU41" s="32">
        <v>0.95151515151515154</v>
      </c>
      <c r="CV41" s="32">
        <v>0.97575757575757571</v>
      </c>
      <c r="CW41" s="32">
        <v>0.96666666666666667</v>
      </c>
      <c r="CX41" s="32">
        <v>0.96909198461993484</v>
      </c>
      <c r="CY41" s="32">
        <v>0.98136645962732916</v>
      </c>
      <c r="CZ41" s="32">
        <v>0.97515527950310554</v>
      </c>
      <c r="DA41" s="32">
        <v>0.98136645962732916</v>
      </c>
      <c r="DB41" s="32">
        <v>1</v>
      </c>
      <c r="DC41" s="32">
        <v>0.98136645962732916</v>
      </c>
      <c r="DD41" s="32">
        <v>1</v>
      </c>
      <c r="DE41" s="32">
        <v>0.98447204968944102</v>
      </c>
      <c r="DF41" s="32">
        <v>0.98624667258207643</v>
      </c>
      <c r="DG41" s="32">
        <v>0.99378881987577639</v>
      </c>
      <c r="DH41" s="32">
        <v>1</v>
      </c>
      <c r="DI41" s="32">
        <v>0.99378881987577639</v>
      </c>
      <c r="DJ41" s="32">
        <v>0.99689440993788825</v>
      </c>
      <c r="DK41" s="32">
        <v>0.99378881987577639</v>
      </c>
      <c r="DL41" s="32">
        <v>0.97515527950310554</v>
      </c>
      <c r="DM41" s="32">
        <v>1</v>
      </c>
      <c r="DN41" s="32">
        <v>0.99334516415261753</v>
      </c>
      <c r="DO41" s="32">
        <v>0.97826086956521741</v>
      </c>
      <c r="DP41" s="32">
        <v>1</v>
      </c>
      <c r="DQ41" s="32">
        <v>1</v>
      </c>
      <c r="DR41" s="32">
        <v>1</v>
      </c>
      <c r="DS41" s="32">
        <v>0.99378881987577639</v>
      </c>
      <c r="DT41" s="32">
        <v>1</v>
      </c>
      <c r="DU41" s="32">
        <v>0.99378881987577639</v>
      </c>
      <c r="DV41" s="32">
        <v>0.99511978704525283</v>
      </c>
      <c r="DW41" s="32">
        <v>1</v>
      </c>
      <c r="DX41" s="32">
        <v>1</v>
      </c>
      <c r="DY41" s="32">
        <v>1</v>
      </c>
      <c r="DZ41" s="32">
        <v>1</v>
      </c>
      <c r="EA41" s="32">
        <v>0.99082568807339455</v>
      </c>
      <c r="EB41" s="32">
        <v>1</v>
      </c>
      <c r="EC41" s="32">
        <v>1</v>
      </c>
      <c r="ED41" s="32">
        <v>0.99868938401048502</v>
      </c>
      <c r="EE41" s="32">
        <v>0.96273291925465843</v>
      </c>
      <c r="EF41" s="32">
        <v>0.99689440993788825</v>
      </c>
      <c r="EG41" s="32">
        <v>0.98447204968944102</v>
      </c>
      <c r="EH41" s="32">
        <v>1</v>
      </c>
      <c r="EI41" s="32">
        <v>0.97515527950310554</v>
      </c>
      <c r="EJ41" s="32">
        <v>1</v>
      </c>
      <c r="EK41" s="32">
        <v>1</v>
      </c>
      <c r="EL41" s="32">
        <v>0.98846495119787048</v>
      </c>
    </row>
    <row r="42" spans="2:142" x14ac:dyDescent="0.25">
      <c r="AL42" s="19" t="s">
        <v>98</v>
      </c>
      <c r="AM42" s="32">
        <v>0.94232861806311208</v>
      </c>
      <c r="AN42" s="32">
        <v>0.95961742826780017</v>
      </c>
      <c r="AO42" s="32">
        <v>0.93784078516902947</v>
      </c>
      <c r="AP42" s="32">
        <v>0.94276457883369336</v>
      </c>
      <c r="AQ42" s="32">
        <v>0.94753747323340476</v>
      </c>
      <c r="AR42" s="32">
        <v>0.96868250539956802</v>
      </c>
      <c r="AS42" s="32">
        <v>0.96194503171247359</v>
      </c>
      <c r="AT42" s="32">
        <v>0.95153091723986871</v>
      </c>
      <c r="AU42" s="32">
        <v>0.94675186368477104</v>
      </c>
      <c r="AV42" s="32">
        <v>0.97109207708779444</v>
      </c>
      <c r="AW42" s="32">
        <v>0.9557713052858684</v>
      </c>
      <c r="AX42" s="32">
        <v>0.97127659574468084</v>
      </c>
      <c r="AY42" s="32">
        <v>0.96194503171247359</v>
      </c>
      <c r="AZ42" s="32">
        <v>0.95560253699788589</v>
      </c>
      <c r="BA42" s="32">
        <v>0.95592864637985309</v>
      </c>
      <c r="BB42" s="32">
        <v>0.95976686527047528</v>
      </c>
      <c r="BC42" s="32">
        <v>0.93318965517241381</v>
      </c>
      <c r="BD42" s="32">
        <v>0.97024442082890539</v>
      </c>
      <c r="BE42" s="32">
        <v>0.88608981380065721</v>
      </c>
      <c r="BF42" s="32">
        <v>0.87828947368421051</v>
      </c>
      <c r="BG42" s="32">
        <v>0.95726495726495731</v>
      </c>
      <c r="BH42" s="32">
        <v>0.96478121664887939</v>
      </c>
      <c r="BI42" s="32">
        <v>0.9472573839662447</v>
      </c>
      <c r="BJ42" s="32">
        <v>0.93387384590946698</v>
      </c>
      <c r="BK42" s="32">
        <v>0.90209020902090209</v>
      </c>
      <c r="BL42" s="32">
        <v>0.89878987898789875</v>
      </c>
      <c r="BM42" s="32">
        <v>0.90403489640130863</v>
      </c>
      <c r="BN42" s="32">
        <v>0.92462845010615713</v>
      </c>
      <c r="BO42" s="32">
        <v>0.84385382059800662</v>
      </c>
      <c r="BP42" s="32">
        <v>0.77398015435501655</v>
      </c>
      <c r="BQ42" s="32">
        <v>0.78650442477876104</v>
      </c>
      <c r="BR42" s="32">
        <v>0.86198311917829307</v>
      </c>
      <c r="BS42" s="32">
        <v>0.9396186440677966</v>
      </c>
      <c r="BT42" s="32">
        <v>0.93184238551650689</v>
      </c>
      <c r="BU42" s="32">
        <v>0.93599160545645332</v>
      </c>
      <c r="BV42" s="32">
        <v>0.94536082474226801</v>
      </c>
      <c r="BW42" s="32">
        <v>0.95492662473794554</v>
      </c>
      <c r="BX42" s="32">
        <v>0.91773504273504269</v>
      </c>
      <c r="BY42" s="32">
        <v>0.94409282700421937</v>
      </c>
      <c r="BZ42" s="32">
        <v>0.93850970775146181</v>
      </c>
      <c r="CA42" s="32">
        <v>0.95243128964059198</v>
      </c>
      <c r="CB42" s="32">
        <v>0.93958333333333333</v>
      </c>
      <c r="CC42" s="32">
        <v>0.93165089379600419</v>
      </c>
      <c r="CD42" s="32">
        <v>0.93028095733610827</v>
      </c>
      <c r="CE42" s="32">
        <v>0.95348837209302328</v>
      </c>
      <c r="CF42" s="32">
        <v>0.93416927899686519</v>
      </c>
      <c r="CG42" s="32">
        <v>0.94605809128630702</v>
      </c>
      <c r="CH42" s="32">
        <v>0.94109460235460474</v>
      </c>
      <c r="CI42" s="32">
        <v>0.92608236536430832</v>
      </c>
      <c r="CJ42" s="32">
        <v>0.94736842105263153</v>
      </c>
      <c r="CK42" s="32">
        <v>0.94508975712777188</v>
      </c>
      <c r="CL42" s="32">
        <v>0.94438614900314799</v>
      </c>
      <c r="CM42" s="32">
        <v>0.95697796432318993</v>
      </c>
      <c r="CN42" s="32">
        <v>0.94659685863874343</v>
      </c>
      <c r="CO42" s="32">
        <v>0.95322245322245325</v>
      </c>
      <c r="CP42" s="32">
        <v>0.94567485267603524</v>
      </c>
      <c r="CQ42" s="32">
        <v>0.94497354497354502</v>
      </c>
      <c r="CR42" s="32">
        <v>0.96443514644351469</v>
      </c>
      <c r="CS42" s="32">
        <v>0.93862433862433858</v>
      </c>
      <c r="CT42" s="32">
        <v>0.93165089379600419</v>
      </c>
      <c r="CU42" s="32">
        <v>0.93993677555321387</v>
      </c>
      <c r="CV42" s="32">
        <v>0.96454640250260693</v>
      </c>
      <c r="CW42" s="32">
        <v>0.94874476987447698</v>
      </c>
      <c r="CX42" s="32">
        <v>0.94755883882395708</v>
      </c>
      <c r="CY42" s="32">
        <v>0.9375661375661376</v>
      </c>
      <c r="CZ42" s="32">
        <v>0.94834710743801653</v>
      </c>
      <c r="DA42" s="32">
        <v>0.9307450157397692</v>
      </c>
      <c r="DB42" s="32">
        <v>0.92805005213764336</v>
      </c>
      <c r="DC42" s="32">
        <v>0.95198329853862218</v>
      </c>
      <c r="DD42" s="32">
        <v>0.94818652849740936</v>
      </c>
      <c r="DE42" s="32">
        <v>0.94670846394984332</v>
      </c>
      <c r="DF42" s="32">
        <v>0.9416552291239203</v>
      </c>
      <c r="DG42" s="32">
        <v>0.90349946977730644</v>
      </c>
      <c r="DH42" s="32">
        <v>0.94369134515119912</v>
      </c>
      <c r="DI42" s="32">
        <v>0.87420718816067655</v>
      </c>
      <c r="DJ42" s="32">
        <v>0.89075630252100846</v>
      </c>
      <c r="DK42" s="32">
        <v>0.91368421052631577</v>
      </c>
      <c r="DL42" s="32">
        <v>0.9395546129374337</v>
      </c>
      <c r="DM42" s="32">
        <v>0.92690677966101698</v>
      </c>
      <c r="DN42" s="32">
        <v>0.91318570124785092</v>
      </c>
      <c r="DO42" s="32">
        <v>0.92991631799163177</v>
      </c>
      <c r="DP42" s="32">
        <v>0.92171189979123169</v>
      </c>
      <c r="DQ42" s="32">
        <v>0.90889830508474578</v>
      </c>
      <c r="DR42" s="32">
        <v>0.93006263048016702</v>
      </c>
      <c r="DS42" s="32">
        <v>0.94234800838574428</v>
      </c>
      <c r="DT42" s="32">
        <v>0.63578947368421057</v>
      </c>
      <c r="DU42" s="32">
        <v>0.93958333333333333</v>
      </c>
      <c r="DV42" s="32">
        <v>0.88690142410729489</v>
      </c>
      <c r="DW42" s="32">
        <v>0.91473684210526318</v>
      </c>
      <c r="DX42" s="32">
        <v>0.93035343035343032</v>
      </c>
      <c r="DY42" s="32">
        <v>0.78964059196617331</v>
      </c>
      <c r="DZ42" s="32">
        <v>0.90400843881856541</v>
      </c>
      <c r="EA42" s="32">
        <v>0.93319415448851772</v>
      </c>
      <c r="EB42" s="32">
        <v>0.9242902208201893</v>
      </c>
      <c r="EC42" s="32">
        <v>0.93652445369406867</v>
      </c>
      <c r="ED42" s="32">
        <v>0.90467830460660104</v>
      </c>
      <c r="EE42" s="32">
        <v>0.91082802547770703</v>
      </c>
      <c r="EF42" s="32">
        <v>0.93828451882845187</v>
      </c>
      <c r="EG42" s="32">
        <v>0.90985324947589097</v>
      </c>
      <c r="EH42" s="32">
        <v>0.9282744282744283</v>
      </c>
      <c r="EI42" s="32">
        <v>0.94264859228362874</v>
      </c>
      <c r="EJ42" s="32">
        <v>0.94</v>
      </c>
      <c r="EK42" s="32">
        <v>0.95</v>
      </c>
      <c r="EL42" s="32">
        <v>0.93141268776287234</v>
      </c>
    </row>
    <row r="43" spans="2:142" x14ac:dyDescent="0.25">
      <c r="AL43" s="19" t="s">
        <v>99</v>
      </c>
      <c r="AM43" s="32">
        <v>0.96021699819168171</v>
      </c>
      <c r="AN43" s="32">
        <v>0.95195729537366547</v>
      </c>
      <c r="AO43" s="32">
        <v>0.955719557195572</v>
      </c>
      <c r="AP43" s="32">
        <v>0.93693693693693691</v>
      </c>
      <c r="AQ43" s="32">
        <v>0.96140350877192982</v>
      </c>
      <c r="AR43" s="32">
        <v>0.95752212389380531</v>
      </c>
      <c r="AS43" s="32">
        <v>0.97111913357400725</v>
      </c>
      <c r="AT43" s="32">
        <v>0.95641079341965696</v>
      </c>
      <c r="AU43" s="32">
        <v>0.91544715447154468</v>
      </c>
      <c r="AV43" s="32">
        <v>0.9497307001795332</v>
      </c>
      <c r="AW43" s="32">
        <v>0.91368078175895762</v>
      </c>
      <c r="AX43" s="32">
        <v>0.93914473684210531</v>
      </c>
      <c r="AY43" s="32">
        <v>0.91653027823240585</v>
      </c>
      <c r="AZ43" s="32">
        <v>0.9027552674230146</v>
      </c>
      <c r="BA43" s="32">
        <v>0.9211822660098522</v>
      </c>
      <c r="BB43" s="32">
        <v>0.92263874070248764</v>
      </c>
      <c r="BC43" s="32">
        <v>0.93121693121693117</v>
      </c>
      <c r="BD43" s="32">
        <v>0.94618055555555558</v>
      </c>
      <c r="BE43" s="32">
        <v>0.94300518134715028</v>
      </c>
      <c r="BF43" s="32">
        <v>0.9226713532513181</v>
      </c>
      <c r="BG43" s="32">
        <v>0.95918367346938771</v>
      </c>
      <c r="BH43" s="32">
        <v>0.96569468267581471</v>
      </c>
      <c r="BI43" s="32">
        <v>0.95666666666666667</v>
      </c>
      <c r="BJ43" s="32">
        <v>0.94637414916897489</v>
      </c>
      <c r="BK43" s="32">
        <v>0.92639138240574503</v>
      </c>
      <c r="BL43" s="32">
        <v>0.94148020654044751</v>
      </c>
      <c r="BM43" s="32">
        <v>0.95238095238095233</v>
      </c>
      <c r="BN43" s="32">
        <v>0.94755244755244761</v>
      </c>
      <c r="BO43" s="32">
        <v>0.89492753623188404</v>
      </c>
      <c r="BP43" s="32">
        <v>0.93525179856115104</v>
      </c>
      <c r="BQ43" s="32">
        <v>0.85740402193784282</v>
      </c>
      <c r="BR43" s="32">
        <v>0.92219833508721005</v>
      </c>
      <c r="BS43" s="32">
        <v>0.98494983277591974</v>
      </c>
      <c r="BT43" s="32">
        <v>0.9631578947368421</v>
      </c>
      <c r="BU43" s="32">
        <v>0.98290598290598286</v>
      </c>
      <c r="BV43" s="32">
        <v>0.96917808219178081</v>
      </c>
      <c r="BW43" s="32">
        <v>0.95826086956521739</v>
      </c>
      <c r="BX43" s="32">
        <v>0.96712802768166095</v>
      </c>
      <c r="BY43" s="32">
        <v>0.95890410958904104</v>
      </c>
      <c r="BZ43" s="32">
        <v>0.969212114206635</v>
      </c>
      <c r="CA43" s="32">
        <v>0.9845890410958904</v>
      </c>
      <c r="CB43" s="32">
        <v>0.98106712564543885</v>
      </c>
      <c r="CC43" s="32">
        <v>0.95142378559463991</v>
      </c>
      <c r="CD43" s="32">
        <v>0.96896551724137936</v>
      </c>
      <c r="CE43" s="32">
        <v>0.96271186440677969</v>
      </c>
      <c r="CF43" s="32">
        <v>0.96938775510204078</v>
      </c>
      <c r="CG43" s="32">
        <v>0.97161936560934892</v>
      </c>
      <c r="CH43" s="32">
        <v>0.9699663506707884</v>
      </c>
      <c r="CI43" s="32">
        <v>0.96092362344582594</v>
      </c>
      <c r="CJ43" s="32">
        <v>0.95025728987993141</v>
      </c>
      <c r="CK43" s="32">
        <v>0.9538461538461539</v>
      </c>
      <c r="CL43" s="32">
        <v>0.97113752122241082</v>
      </c>
      <c r="CM43" s="32">
        <v>0.97868561278863231</v>
      </c>
      <c r="CN43" s="32">
        <v>0.94836488812392428</v>
      </c>
      <c r="CO43" s="32">
        <v>0.96695652173913038</v>
      </c>
      <c r="CP43" s="32">
        <v>0.96145308729228696</v>
      </c>
      <c r="CQ43" s="32">
        <v>0.98100172711571676</v>
      </c>
      <c r="CR43" s="32">
        <v>0.97404844290657444</v>
      </c>
      <c r="CS43" s="32">
        <v>0.96678321678321677</v>
      </c>
      <c r="CT43" s="32">
        <v>0.95811518324607325</v>
      </c>
      <c r="CU43" s="32">
        <v>0.97916666666666663</v>
      </c>
      <c r="CV43" s="32">
        <v>0.96434634974533107</v>
      </c>
      <c r="CW43" s="32">
        <v>0.97231833910034604</v>
      </c>
      <c r="CX43" s="32">
        <v>0.97082570365198939</v>
      </c>
      <c r="CY43" s="32">
        <v>0.9568965517241379</v>
      </c>
      <c r="CZ43" s="32">
        <v>0.96830985915492962</v>
      </c>
      <c r="DA43" s="32">
        <v>0.95629370629370625</v>
      </c>
      <c r="DB43" s="32">
        <v>0.95811518324607325</v>
      </c>
      <c r="DC43" s="32">
        <v>0.97283531409168078</v>
      </c>
      <c r="DD43" s="32">
        <v>0.97236614853195169</v>
      </c>
      <c r="DE43" s="32">
        <v>0.97818791946308725</v>
      </c>
      <c r="DF43" s="32">
        <v>0.96614352607222387</v>
      </c>
      <c r="DG43" s="32">
        <v>0.97202797202797198</v>
      </c>
      <c r="DH43" s="32">
        <v>0.97197898423817863</v>
      </c>
      <c r="DI43" s="32">
        <v>0.95079086115992972</v>
      </c>
      <c r="DJ43" s="32">
        <v>0.94454382826475847</v>
      </c>
      <c r="DK43" s="32">
        <v>0.96864111498257843</v>
      </c>
      <c r="DL43" s="32">
        <v>0.96114864864864868</v>
      </c>
      <c r="DM43" s="32">
        <v>0.9671848013816926</v>
      </c>
      <c r="DN43" s="32">
        <v>0.96233088724339411</v>
      </c>
      <c r="DO43" s="32">
        <v>0.96842105263157896</v>
      </c>
      <c r="DP43" s="32">
        <v>0.9699115044247788</v>
      </c>
      <c r="DQ43" s="32">
        <v>0.96140350877192982</v>
      </c>
      <c r="DR43" s="32">
        <v>0.95714285714285718</v>
      </c>
      <c r="DS43" s="32">
        <v>0.97391304347826091</v>
      </c>
      <c r="DT43" s="32">
        <v>0.97770154373927964</v>
      </c>
      <c r="DU43" s="32">
        <v>0.97905759162303663</v>
      </c>
      <c r="DV43" s="32">
        <v>0.9696501574016746</v>
      </c>
      <c r="DW43" s="32">
        <v>0.98090277777777779</v>
      </c>
      <c r="DX43" s="32">
        <v>0.96256684491978606</v>
      </c>
      <c r="DY43" s="32">
        <v>0.96180555555555558</v>
      </c>
      <c r="DZ43" s="32">
        <v>0.9664902998236331</v>
      </c>
      <c r="EA43" s="32">
        <v>0.96819787985865724</v>
      </c>
      <c r="EB43" s="32">
        <v>0.96020761245674735</v>
      </c>
      <c r="EC43" s="32">
        <v>0.96153846153846156</v>
      </c>
      <c r="ED43" s="32">
        <v>0.96595849027580261</v>
      </c>
      <c r="EE43" s="32">
        <v>0.97643097643097643</v>
      </c>
      <c r="EF43" s="32">
        <v>0.97359154929577463</v>
      </c>
      <c r="EG43" s="32">
        <v>0.95614035087719296</v>
      </c>
      <c r="EH43" s="32">
        <v>0.96569468267581471</v>
      </c>
      <c r="EI43" s="32">
        <v>0.96581196581196582</v>
      </c>
      <c r="EJ43" s="32">
        <v>0.97989949748743721</v>
      </c>
      <c r="EK43" s="32">
        <v>0.97804054054054057</v>
      </c>
      <c r="EL43" s="32">
        <v>0.97080136615995738</v>
      </c>
    </row>
    <row r="44" spans="2:142" x14ac:dyDescent="0.25">
      <c r="AL44" s="19" t="s">
        <v>100</v>
      </c>
      <c r="AM44" s="32">
        <v>0.9430803571428571</v>
      </c>
      <c r="AN44" s="32">
        <v>0.8883928571428571</v>
      </c>
      <c r="AO44" s="32">
        <v>0.97206703910614523</v>
      </c>
      <c r="AP44" s="32">
        <v>0.9588888888888889</v>
      </c>
      <c r="AQ44" s="32">
        <v>0.9223085460599334</v>
      </c>
      <c r="AR44" s="32">
        <v>0.85327313769751689</v>
      </c>
      <c r="AS44" s="32">
        <v>0.84683684794672587</v>
      </c>
      <c r="AT44" s="32">
        <v>0.91212109628356064</v>
      </c>
      <c r="AU44" s="32">
        <v>0.85049833887043191</v>
      </c>
      <c r="AV44" s="32">
        <v>0.81</v>
      </c>
      <c r="AW44" s="32">
        <v>0.86141906873614194</v>
      </c>
      <c r="AX44" s="32">
        <v>0.77237569060773481</v>
      </c>
      <c r="AY44" s="32">
        <v>0.93007769145394004</v>
      </c>
      <c r="AZ44" s="32">
        <v>0.94039735099337751</v>
      </c>
      <c r="BA44" s="32">
        <v>0.92494481236203085</v>
      </c>
      <c r="BB44" s="32">
        <v>0.86995899328909387</v>
      </c>
      <c r="BC44" s="32">
        <v>0.89277652370203164</v>
      </c>
      <c r="BD44" s="32">
        <v>0.77152317880794707</v>
      </c>
      <c r="BE44" s="32">
        <v>0.89841986455981937</v>
      </c>
      <c r="BF44" s="32">
        <v>0.80022573363431149</v>
      </c>
      <c r="BG44" s="32">
        <v>0.87697516930022579</v>
      </c>
      <c r="BH44" s="32">
        <v>0.8828125</v>
      </c>
      <c r="BI44" s="32">
        <v>0.79711751662971175</v>
      </c>
      <c r="BJ44" s="32">
        <v>0.84569292666200668</v>
      </c>
      <c r="BK44" s="32">
        <v>0.68284424379232511</v>
      </c>
      <c r="BL44" s="32">
        <v>0.86455981941309257</v>
      </c>
      <c r="BM44" s="32">
        <v>0.68058690744920991</v>
      </c>
      <c r="BN44" s="32">
        <v>0.71106094808126408</v>
      </c>
      <c r="BO44" s="32">
        <v>0.64672686230248311</v>
      </c>
      <c r="BP44" s="32">
        <v>0.68284424379232511</v>
      </c>
      <c r="BQ44" s="32">
        <v>0.65914221218961622</v>
      </c>
      <c r="BR44" s="32">
        <v>0.70396646243147376</v>
      </c>
      <c r="BS44" s="32">
        <v>0.81173864894795122</v>
      </c>
      <c r="BT44" s="32">
        <v>0.76614699331848557</v>
      </c>
      <c r="BU44" s="32">
        <v>0.79180509413067557</v>
      </c>
      <c r="BV44" s="32">
        <v>0.84743875278396441</v>
      </c>
      <c r="BW44" s="32">
        <v>0.76411960132890366</v>
      </c>
      <c r="BX44" s="32">
        <v>0.90868596881959907</v>
      </c>
      <c r="BY44" s="32">
        <v>0.76633444075304535</v>
      </c>
      <c r="BZ44" s="32">
        <v>0.80803850001180355</v>
      </c>
      <c r="CA44" s="32">
        <v>0.8666666666666667</v>
      </c>
      <c r="CB44" s="32">
        <v>0.85432639649507114</v>
      </c>
      <c r="CC44" s="32">
        <v>0.80734966592427615</v>
      </c>
      <c r="CD44" s="32">
        <v>0.86489479512735323</v>
      </c>
      <c r="CE44" s="32">
        <v>0.88913282107574099</v>
      </c>
      <c r="CF44" s="32">
        <v>0.89250814332247552</v>
      </c>
      <c r="CG44" s="32">
        <v>0.89640130861504908</v>
      </c>
      <c r="CH44" s="32">
        <v>0.86732568531809051</v>
      </c>
      <c r="CI44" s="32">
        <v>0.90308370044052866</v>
      </c>
      <c r="CJ44" s="32">
        <v>0.87153931339977853</v>
      </c>
      <c r="CK44" s="32">
        <v>0.86343612334801767</v>
      </c>
      <c r="CL44" s="32">
        <v>0.85808580858085803</v>
      </c>
      <c r="CM44" s="32">
        <v>0.91730981256890853</v>
      </c>
      <c r="CN44" s="32">
        <v>0.92026578073089704</v>
      </c>
      <c r="CO44" s="32">
        <v>0.911991199119912</v>
      </c>
      <c r="CP44" s="32">
        <v>0.89224453402698589</v>
      </c>
      <c r="CQ44" s="32">
        <v>0.84496124031007747</v>
      </c>
      <c r="CR44" s="32">
        <v>0.88261351052048731</v>
      </c>
      <c r="CS44" s="32">
        <v>0.83277962347729795</v>
      </c>
      <c r="CT44" s="32">
        <v>0.84364820846905542</v>
      </c>
      <c r="CU44" s="32">
        <v>0.90621592148309704</v>
      </c>
      <c r="CV44" s="32">
        <v>0.87938596491228072</v>
      </c>
      <c r="CW44" s="32">
        <v>0.90730643402399125</v>
      </c>
      <c r="CX44" s="32">
        <v>0.87098727188518388</v>
      </c>
      <c r="CY44" s="32">
        <v>0.83442982456140347</v>
      </c>
      <c r="CZ44" s="32">
        <v>0.88853161843515538</v>
      </c>
      <c r="DA44" s="32">
        <v>0.76425438596491224</v>
      </c>
      <c r="DB44" s="32">
        <v>0.80178173719376389</v>
      </c>
      <c r="DC44" s="32">
        <v>0.85297297297297292</v>
      </c>
      <c r="DD44" s="32">
        <v>0.88735387885228478</v>
      </c>
      <c r="DE44" s="32">
        <v>0.82524271844660191</v>
      </c>
      <c r="DF44" s="32">
        <v>0.83636673377529924</v>
      </c>
      <c r="DG44" s="32">
        <v>0.83969465648854957</v>
      </c>
      <c r="DH44" s="32">
        <v>0.9869138495092693</v>
      </c>
      <c r="DI44" s="32">
        <v>0.81202185792349724</v>
      </c>
      <c r="DJ44" s="32">
        <v>0.83644346871569708</v>
      </c>
      <c r="DK44" s="32">
        <v>0.87459105779716462</v>
      </c>
      <c r="DL44" s="32">
        <v>0.89336235038084877</v>
      </c>
      <c r="DM44" s="32">
        <v>0.87987012987012991</v>
      </c>
      <c r="DN44" s="32">
        <v>0.87469962438359394</v>
      </c>
      <c r="DO44" s="32">
        <v>0.8283261802575107</v>
      </c>
      <c r="DP44" s="32">
        <v>0.80537634408602155</v>
      </c>
      <c r="DQ44" s="32">
        <v>0.79675675675675672</v>
      </c>
      <c r="DR44" s="32">
        <v>0.83783783783783783</v>
      </c>
      <c r="DS44" s="32">
        <v>0.91468682505399568</v>
      </c>
      <c r="DT44" s="32">
        <v>0.86876355748373102</v>
      </c>
      <c r="DU44" s="32">
        <v>0.90347071583514105</v>
      </c>
      <c r="DV44" s="32">
        <v>0.85074545961585635</v>
      </c>
      <c r="DW44" s="32">
        <v>0.86984815618221256</v>
      </c>
      <c r="DX44" s="32">
        <v>0.88286334056399129</v>
      </c>
      <c r="DY44" s="32">
        <v>0.84164859002169201</v>
      </c>
      <c r="DZ44" s="32">
        <v>0.82537960954446854</v>
      </c>
      <c r="EA44" s="32">
        <v>0.87418655097613884</v>
      </c>
      <c r="EB44" s="32">
        <v>0.85249457700650755</v>
      </c>
      <c r="EC44" s="32">
        <v>0.79067245119305862</v>
      </c>
      <c r="ED44" s="32">
        <v>0.84815618221258127</v>
      </c>
      <c r="EE44" s="32">
        <v>0.91973969631236441</v>
      </c>
      <c r="EF44" s="32">
        <v>0.89587852494577003</v>
      </c>
      <c r="EG44" s="32">
        <v>0.87744034707158347</v>
      </c>
      <c r="EH44" s="32">
        <v>0.88394793926247284</v>
      </c>
      <c r="EI44" s="32">
        <v>0.91106290672451196</v>
      </c>
      <c r="EJ44" s="32">
        <v>0.88828633405639912</v>
      </c>
      <c r="EK44" s="32">
        <v>0.86876355748373102</v>
      </c>
      <c r="EL44" s="32">
        <v>0.89215990083669061</v>
      </c>
    </row>
    <row r="45" spans="2:142" x14ac:dyDescent="0.25">
      <c r="AL45" s="19" t="s">
        <v>101</v>
      </c>
      <c r="AM45" s="32">
        <v>0.90352020860495441</v>
      </c>
      <c r="AN45" s="32">
        <v>0.93856209150326797</v>
      </c>
      <c r="AO45" s="32">
        <v>0.92146596858638741</v>
      </c>
      <c r="AP45" s="32">
        <v>0.94895287958115182</v>
      </c>
      <c r="AQ45" s="32">
        <v>0.93742017879948913</v>
      </c>
      <c r="AR45" s="32">
        <v>0.93733681462140994</v>
      </c>
      <c r="AS45" s="32">
        <v>0.9329896907216495</v>
      </c>
      <c r="AT45" s="32">
        <v>0.9314639760597585</v>
      </c>
      <c r="AU45" s="32">
        <v>0.90609137055837563</v>
      </c>
      <c r="AV45" s="32">
        <v>0.92704402515723272</v>
      </c>
      <c r="AW45" s="32">
        <v>0.90440251572327046</v>
      </c>
      <c r="AX45" s="32">
        <v>0.94154228855721389</v>
      </c>
      <c r="AY45" s="32">
        <v>0.92105263157894735</v>
      </c>
      <c r="AZ45" s="32">
        <v>0.94769613947696141</v>
      </c>
      <c r="BA45" s="32">
        <v>0.92874999999999996</v>
      </c>
      <c r="BB45" s="32">
        <v>0.92522556729314298</v>
      </c>
      <c r="BC45" s="32">
        <v>0.86046511627906974</v>
      </c>
      <c r="BD45" s="32">
        <v>0.91925465838509313</v>
      </c>
      <c r="BE45" s="32">
        <v>0.85324675324675325</v>
      </c>
      <c r="BF45" s="32">
        <v>0.86623376623376624</v>
      </c>
      <c r="BG45" s="32">
        <v>0.87515762925598994</v>
      </c>
      <c r="BH45" s="32">
        <v>0.91489361702127658</v>
      </c>
      <c r="BI45" s="32">
        <v>0.89539227895392282</v>
      </c>
      <c r="BJ45" s="32">
        <v>0.88352054562512461</v>
      </c>
      <c r="BK45" s="32">
        <v>0.80884265279583878</v>
      </c>
      <c r="BL45" s="32">
        <v>0.81630012936610608</v>
      </c>
      <c r="BM45" s="32">
        <v>0.8227684346701164</v>
      </c>
      <c r="BN45" s="32">
        <v>0.86923076923076925</v>
      </c>
      <c r="BO45" s="32">
        <v>0.792156862745098</v>
      </c>
      <c r="BP45" s="32">
        <v>0.72178477690288712</v>
      </c>
      <c r="BQ45" s="32">
        <v>0.73490813648293962</v>
      </c>
      <c r="BR45" s="32">
        <v>0.79514168031339361</v>
      </c>
      <c r="BS45" s="32">
        <v>0.92154255319148937</v>
      </c>
      <c r="BT45" s="32">
        <v>0.88431876606683801</v>
      </c>
      <c r="BU45" s="32">
        <v>0.94063324538258575</v>
      </c>
      <c r="BV45" s="32">
        <v>0.95691906005221927</v>
      </c>
      <c r="BW45" s="32">
        <v>0.90933333333333333</v>
      </c>
      <c r="BX45" s="32">
        <v>0.86545924967658472</v>
      </c>
      <c r="BY45" s="32">
        <v>0.86684073107049608</v>
      </c>
      <c r="BZ45" s="32">
        <v>0.90643527696764947</v>
      </c>
      <c r="CA45" s="32">
        <v>0.9538461538461539</v>
      </c>
      <c r="CB45" s="32">
        <v>0.95219638242894056</v>
      </c>
      <c r="CC45" s="32">
        <v>0.9570871261378413</v>
      </c>
      <c r="CD45" s="32">
        <v>0.96547314578005117</v>
      </c>
      <c r="CE45" s="32">
        <v>0.96178343949044587</v>
      </c>
      <c r="CF45" s="32">
        <v>0.96057818659658345</v>
      </c>
      <c r="CG45" s="32">
        <v>0.96765847347994827</v>
      </c>
      <c r="CH45" s="32">
        <v>0.95980327253713782</v>
      </c>
      <c r="CI45" s="32">
        <v>0.90828025477707008</v>
      </c>
      <c r="CJ45" s="32">
        <v>0.94396014943960149</v>
      </c>
      <c r="CK45" s="32">
        <v>0.91561712846347609</v>
      </c>
      <c r="CL45" s="32">
        <v>0.93275217932752175</v>
      </c>
      <c r="CM45" s="32">
        <v>0.94029850746268662</v>
      </c>
      <c r="CN45" s="32">
        <v>0.94919454770755884</v>
      </c>
      <c r="CO45" s="32">
        <v>0.9662921348314607</v>
      </c>
      <c r="CP45" s="32">
        <v>0.93662784314419645</v>
      </c>
      <c r="CQ45" s="32">
        <v>0.93094944512946975</v>
      </c>
      <c r="CR45" s="32">
        <v>0.94750000000000001</v>
      </c>
      <c r="CS45" s="32">
        <v>0.91368680641183719</v>
      </c>
      <c r="CT45" s="32">
        <v>0.94704433497536944</v>
      </c>
      <c r="CU45" s="32">
        <v>0.96121212121212118</v>
      </c>
      <c r="CV45" s="32">
        <v>0.93796526054590568</v>
      </c>
      <c r="CW45" s="32">
        <v>0.95511221945137159</v>
      </c>
      <c r="CX45" s="32">
        <v>0.94192431253229625</v>
      </c>
      <c r="CY45" s="32">
        <v>0.92518703241895262</v>
      </c>
      <c r="CZ45" s="32">
        <v>0.96921182266009853</v>
      </c>
      <c r="DA45" s="32">
        <v>0.93601003764115431</v>
      </c>
      <c r="DB45" s="32">
        <v>0.93992490613266588</v>
      </c>
      <c r="DC45" s="32">
        <v>0.9458794587945879</v>
      </c>
      <c r="DD45" s="32">
        <v>0.93048780487804883</v>
      </c>
      <c r="DE45" s="32">
        <v>0.93357933579335795</v>
      </c>
      <c r="DF45" s="32">
        <v>0.9400400569026951</v>
      </c>
      <c r="DG45" s="32">
        <v>0.91885143570536831</v>
      </c>
      <c r="DH45" s="32">
        <v>0.94226044226044225</v>
      </c>
      <c r="DI45" s="32">
        <v>0.92964824120603018</v>
      </c>
      <c r="DJ45" s="32">
        <v>0.96890547263681592</v>
      </c>
      <c r="DK45" s="32">
        <v>0.93341553637484587</v>
      </c>
      <c r="DL45" s="32">
        <v>0.94190358467243507</v>
      </c>
      <c r="DM45" s="32">
        <v>0.9452054794520548</v>
      </c>
      <c r="DN45" s="32">
        <v>0.94002717032971328</v>
      </c>
      <c r="DO45" s="32">
        <v>0.89808917197452232</v>
      </c>
      <c r="DP45" s="32">
        <v>0.96674876847290636</v>
      </c>
      <c r="DQ45" s="32">
        <v>0.89500640204865556</v>
      </c>
      <c r="DR45" s="32">
        <v>0.93469910371318821</v>
      </c>
      <c r="DS45" s="32">
        <v>0.92686002522068101</v>
      </c>
      <c r="DT45" s="32">
        <v>0.94874999999999998</v>
      </c>
      <c r="DU45" s="32">
        <v>0.92901618929016194</v>
      </c>
      <c r="DV45" s="32">
        <v>0.92845280867430213</v>
      </c>
      <c r="DW45" s="32">
        <v>0.88025477707006372</v>
      </c>
      <c r="DX45" s="32">
        <v>0.9455696202531646</v>
      </c>
      <c r="DY45" s="32">
        <v>0.88491048593350385</v>
      </c>
      <c r="DZ45" s="32">
        <v>0.90804597701149425</v>
      </c>
      <c r="EA45" s="32">
        <v>0.93125000000000002</v>
      </c>
      <c r="EB45" s="32">
        <v>0.93020304568527923</v>
      </c>
      <c r="EC45" s="32">
        <v>0.94730238393977417</v>
      </c>
      <c r="ED45" s="32">
        <v>0.91821946998475423</v>
      </c>
      <c r="EE45" s="32">
        <v>0.87867177522349937</v>
      </c>
      <c r="EF45" s="32">
        <v>0.9124365482233503</v>
      </c>
      <c r="EG45" s="32">
        <v>0.87723785166240409</v>
      </c>
      <c r="EH45" s="32">
        <v>0.89030612244897955</v>
      </c>
      <c r="EI45" s="32">
        <v>0.92025316455696204</v>
      </c>
      <c r="EJ45" s="32">
        <v>0.92639593908629436</v>
      </c>
      <c r="EK45" s="32">
        <v>0.92288242730720604</v>
      </c>
      <c r="EL45" s="32">
        <v>0.90402626121552798</v>
      </c>
    </row>
    <row r="46" spans="2:142" x14ac:dyDescent="0.25">
      <c r="AL46" s="19" t="s">
        <v>102</v>
      </c>
      <c r="AM46" s="32">
        <v>0.90099009900990101</v>
      </c>
      <c r="AN46" s="32">
        <v>0.94333333333333336</v>
      </c>
      <c r="AO46" s="32">
        <v>0.89768976897689767</v>
      </c>
      <c r="AP46" s="32">
        <v>0.9509803921568627</v>
      </c>
      <c r="AQ46" s="32">
        <v>0.95379537953795379</v>
      </c>
      <c r="AR46" s="32">
        <v>0.93687707641196016</v>
      </c>
      <c r="AS46" s="32">
        <v>0.88888888888888884</v>
      </c>
      <c r="AT46" s="32">
        <v>0.92465070547368533</v>
      </c>
      <c r="AU46" s="32">
        <v>0.92715231788079466</v>
      </c>
      <c r="AV46" s="32">
        <v>0.95424836601307195</v>
      </c>
      <c r="AW46" s="32">
        <v>0.90759075907590758</v>
      </c>
      <c r="AX46" s="32">
        <v>0.91089108910891092</v>
      </c>
      <c r="AY46" s="32">
        <v>0.90522875816993464</v>
      </c>
      <c r="AZ46" s="32">
        <v>0.95666666666666667</v>
      </c>
      <c r="BA46" s="32">
        <v>0.91883116883116878</v>
      </c>
      <c r="BB46" s="32">
        <v>0.92580130367806512</v>
      </c>
      <c r="BC46" s="32">
        <v>0.91558441558441561</v>
      </c>
      <c r="BD46" s="32">
        <v>0.91419141914191415</v>
      </c>
      <c r="BE46" s="32">
        <v>0.87540983606557377</v>
      </c>
      <c r="BF46" s="32">
        <v>0.91419141914191415</v>
      </c>
      <c r="BG46" s="32">
        <v>0.93851132686084138</v>
      </c>
      <c r="BH46" s="32">
        <v>0.95986622073578598</v>
      </c>
      <c r="BI46" s="32">
        <v>0.9072847682119205</v>
      </c>
      <c r="BJ46" s="32">
        <v>0.91786277224890933</v>
      </c>
      <c r="BK46" s="32">
        <v>0.91582491582491588</v>
      </c>
      <c r="BL46" s="32">
        <v>0.91973244147157196</v>
      </c>
      <c r="BM46" s="32">
        <v>0.86423841059602646</v>
      </c>
      <c r="BN46" s="32">
        <v>0.9273927392739274</v>
      </c>
      <c r="BO46" s="32">
        <v>0.87788778877887785</v>
      </c>
      <c r="BP46" s="32">
        <v>0.78231292517006801</v>
      </c>
      <c r="BQ46" s="32">
        <v>0.79461279461279466</v>
      </c>
      <c r="BR46" s="32">
        <v>0.86885743081831179</v>
      </c>
      <c r="BS46" s="32">
        <v>0.88926174496644295</v>
      </c>
      <c r="BT46" s="32">
        <v>0.93624161073825507</v>
      </c>
      <c r="BU46" s="32">
        <v>0.9072847682119205</v>
      </c>
      <c r="BV46" s="32">
        <v>0.90397350993377479</v>
      </c>
      <c r="BW46" s="32">
        <v>0.91666666666666663</v>
      </c>
      <c r="BX46" s="32">
        <v>0.90301003344481601</v>
      </c>
      <c r="BY46" s="32">
        <v>0.92255892255892258</v>
      </c>
      <c r="BZ46" s="32">
        <v>0.91128532236011395</v>
      </c>
      <c r="CA46" s="32">
        <v>0.91186440677966096</v>
      </c>
      <c r="CB46" s="32">
        <v>0.89836065573770496</v>
      </c>
      <c r="CC46" s="32">
        <v>0.91362126245847175</v>
      </c>
      <c r="CD46" s="32">
        <v>0.94019933554817281</v>
      </c>
      <c r="CE46" s="32">
        <v>0.91216216216216217</v>
      </c>
      <c r="CF46" s="32">
        <v>0.89735099337748347</v>
      </c>
      <c r="CG46" s="32">
        <v>0.91059602649006621</v>
      </c>
      <c r="CH46" s="32">
        <v>0.91202212036481767</v>
      </c>
      <c r="CI46" s="32">
        <v>0.8682432432432432</v>
      </c>
      <c r="CJ46" s="32">
        <v>0.92810457516339873</v>
      </c>
      <c r="CK46" s="32">
        <v>0.88039867109634551</v>
      </c>
      <c r="CL46" s="32">
        <v>0.90235690235690236</v>
      </c>
      <c r="CM46" s="32">
        <v>0.92307692307692313</v>
      </c>
      <c r="CN46" s="32">
        <v>0.91205211726384361</v>
      </c>
      <c r="CO46" s="32">
        <v>0.92333333333333334</v>
      </c>
      <c r="CP46" s="32">
        <v>0.90536653793342692</v>
      </c>
      <c r="CQ46" s="32">
        <v>0.89830508474576276</v>
      </c>
      <c r="CR46" s="32">
        <v>0.91419141914191415</v>
      </c>
      <c r="CS46" s="32">
        <v>0.90301003344481601</v>
      </c>
      <c r="CT46" s="32">
        <v>0.94333333333333336</v>
      </c>
      <c r="CU46" s="32">
        <v>0.85858585858585856</v>
      </c>
      <c r="CV46" s="32">
        <v>0.9072847682119205</v>
      </c>
      <c r="CW46" s="32">
        <v>0.88079470198675491</v>
      </c>
      <c r="CX46" s="32">
        <v>0.90078645706433724</v>
      </c>
      <c r="CY46" s="32">
        <v>0.90697674418604646</v>
      </c>
      <c r="CZ46" s="32">
        <v>0.95016611295681064</v>
      </c>
      <c r="DA46" s="32">
        <v>0.89144736842105265</v>
      </c>
      <c r="DB46" s="32">
        <v>0.92384105960264906</v>
      </c>
      <c r="DC46" s="32">
        <v>0.92384105960264906</v>
      </c>
      <c r="DD46" s="32">
        <v>0.92203389830508475</v>
      </c>
      <c r="DE46" s="32">
        <v>0.89966555183946484</v>
      </c>
      <c r="DF46" s="32">
        <v>0.91685311355910826</v>
      </c>
      <c r="DG46" s="32">
        <v>0.85521885521885521</v>
      </c>
      <c r="DH46" s="32">
        <v>0.92905405405405406</v>
      </c>
      <c r="DI46" s="32">
        <v>0.8825503355704698</v>
      </c>
      <c r="DJ46" s="32">
        <v>0.90604026845637586</v>
      </c>
      <c r="DK46" s="32">
        <v>0.95723684210526316</v>
      </c>
      <c r="DL46" s="32">
        <v>0.95622895622895621</v>
      </c>
      <c r="DM46" s="32">
        <v>0.92229729729729726</v>
      </c>
      <c r="DN46" s="32">
        <v>0.91551808699018167</v>
      </c>
      <c r="DO46" s="32">
        <v>0.92131147540983604</v>
      </c>
      <c r="DP46" s="32">
        <v>0.91390728476821192</v>
      </c>
      <c r="DQ46" s="32">
        <v>0.92</v>
      </c>
      <c r="DR46" s="32">
        <v>0.93377483443708609</v>
      </c>
      <c r="DS46" s="32">
        <v>0.93959731543624159</v>
      </c>
      <c r="DT46" s="32">
        <v>0.90099009900990101</v>
      </c>
      <c r="DU46" s="32">
        <v>0.90131578947368418</v>
      </c>
      <c r="DV46" s="32">
        <v>0.91869954264785159</v>
      </c>
      <c r="DW46" s="32">
        <v>0.9261744966442953</v>
      </c>
      <c r="DX46" s="32">
        <v>0.94426229508196724</v>
      </c>
      <c r="DY46" s="32">
        <v>0.91919191919191923</v>
      </c>
      <c r="DZ46" s="32">
        <v>0.93729372937293731</v>
      </c>
      <c r="EA46" s="32">
        <v>0.9</v>
      </c>
      <c r="EB46" s="32">
        <v>0.91186440677966096</v>
      </c>
      <c r="EC46" s="32">
        <v>0.91891891891891897</v>
      </c>
      <c r="ED46" s="32">
        <v>0.92252939514138566</v>
      </c>
      <c r="EE46" s="32">
        <v>0.89655172413793105</v>
      </c>
      <c r="EF46" s="32">
        <v>0.93</v>
      </c>
      <c r="EG46" s="32">
        <v>0.92176870748299322</v>
      </c>
      <c r="EH46" s="32">
        <v>0.93959731543624159</v>
      </c>
      <c r="EI46" s="32">
        <v>0.93856655290102387</v>
      </c>
      <c r="EJ46" s="32">
        <v>0.91408934707903777</v>
      </c>
      <c r="EK46" s="32">
        <v>0.9106529209621993</v>
      </c>
      <c r="EL46" s="32">
        <v>0.92160379542848958</v>
      </c>
    </row>
    <row r="47" spans="2:142" x14ac:dyDescent="0.25">
      <c r="AL47" s="19" t="s">
        <v>103</v>
      </c>
      <c r="AM47" s="32">
        <v>0.82258064516129037</v>
      </c>
      <c r="AN47" s="32">
        <v>0.86290322580645162</v>
      </c>
      <c r="AO47" s="32">
        <v>0.75403225806451613</v>
      </c>
      <c r="AP47" s="32">
        <v>0.77419354838709675</v>
      </c>
      <c r="AQ47" s="32">
        <v>0.84677419354838712</v>
      </c>
      <c r="AR47" s="32">
        <v>0.82258064516129037</v>
      </c>
      <c r="AS47" s="32">
        <v>0.842741935483871</v>
      </c>
      <c r="AT47" s="32">
        <v>0.8179723502304147</v>
      </c>
      <c r="AU47" s="32">
        <v>0.83064516129032262</v>
      </c>
      <c r="AV47" s="32">
        <v>0.82258064516129037</v>
      </c>
      <c r="AW47" s="32">
        <v>0.80241935483870963</v>
      </c>
      <c r="AX47" s="32">
        <v>0.87096774193548387</v>
      </c>
      <c r="AY47" s="32">
        <v>0.85080645161290325</v>
      </c>
      <c r="AZ47" s="32">
        <v>0.84677419354838712</v>
      </c>
      <c r="BA47" s="32">
        <v>0.81854838709677424</v>
      </c>
      <c r="BB47" s="32">
        <v>0.83467741935483886</v>
      </c>
      <c r="BC47" s="32">
        <v>0.86290322580645162</v>
      </c>
      <c r="BD47" s="32">
        <v>0.91935483870967738</v>
      </c>
      <c r="BE47" s="32">
        <v>0.79435483870967738</v>
      </c>
      <c r="BF47" s="32">
        <v>0.87903225806451613</v>
      </c>
      <c r="BG47" s="32">
        <v>0.87096774193548387</v>
      </c>
      <c r="BH47" s="32">
        <v>0.91935483870967738</v>
      </c>
      <c r="BI47" s="32">
        <v>0.88709677419354838</v>
      </c>
      <c r="BJ47" s="32">
        <v>0.87615207373271886</v>
      </c>
      <c r="BK47" s="32">
        <v>0.83064516129032262</v>
      </c>
      <c r="BL47" s="32">
        <v>0.84677419354838712</v>
      </c>
      <c r="BM47" s="32">
        <v>0.88709677419354838</v>
      </c>
      <c r="BN47" s="32">
        <v>0.86290322580645162</v>
      </c>
      <c r="BO47" s="32">
        <v>0.74193548387096775</v>
      </c>
      <c r="BP47" s="32">
        <v>0.77016129032258063</v>
      </c>
      <c r="BQ47" s="32">
        <v>0.68951612903225812</v>
      </c>
      <c r="BR47" s="32">
        <v>0.80414746543778814</v>
      </c>
      <c r="BS47" s="32">
        <v>0.93145161290322576</v>
      </c>
      <c r="BT47" s="32">
        <v>0.86290322580645162</v>
      </c>
      <c r="BU47" s="32">
        <v>0.92741935483870963</v>
      </c>
      <c r="BV47" s="32">
        <v>0.93145161290322576</v>
      </c>
      <c r="BW47" s="32">
        <v>0.87096774193548387</v>
      </c>
      <c r="BX47" s="32">
        <v>0.86290322580645162</v>
      </c>
      <c r="BY47" s="32">
        <v>0.88306451612903225</v>
      </c>
      <c r="BZ47" s="32">
        <v>0.89573732718894017</v>
      </c>
      <c r="CA47" s="32">
        <v>0.91129032258064513</v>
      </c>
      <c r="CB47" s="32">
        <v>0.91532258064516125</v>
      </c>
      <c r="CC47" s="32">
        <v>0.91129032258064513</v>
      </c>
      <c r="CD47" s="32">
        <v>0.95161290322580649</v>
      </c>
      <c r="CE47" s="32">
        <v>0.93548387096774188</v>
      </c>
      <c r="CF47" s="32">
        <v>0.91532258064516125</v>
      </c>
      <c r="CG47" s="32">
        <v>0.94758064516129037</v>
      </c>
      <c r="CH47" s="32">
        <v>0.92684331797235031</v>
      </c>
      <c r="CI47" s="32">
        <v>0.91935483870967738</v>
      </c>
      <c r="CJ47" s="32">
        <v>0.95564516129032262</v>
      </c>
      <c r="CK47" s="32">
        <v>0.907258064516129</v>
      </c>
      <c r="CL47" s="32">
        <v>0.95967741935483875</v>
      </c>
      <c r="CM47" s="32">
        <v>0.8911290322580645</v>
      </c>
      <c r="CN47" s="32">
        <v>0.95348837209302328</v>
      </c>
      <c r="CO47" s="32">
        <v>0.92607003891050588</v>
      </c>
      <c r="CP47" s="32">
        <v>0.93037470387608023</v>
      </c>
      <c r="CQ47" s="32">
        <v>0.842741935483871</v>
      </c>
      <c r="CR47" s="32">
        <v>0.95967741935483875</v>
      </c>
      <c r="CS47" s="32">
        <v>0.875</v>
      </c>
      <c r="CT47" s="32">
        <v>0.77419354838709675</v>
      </c>
      <c r="CU47" s="32">
        <v>0.88306451612903225</v>
      </c>
      <c r="CV47" s="32">
        <v>0.93548387096774188</v>
      </c>
      <c r="CW47" s="32">
        <v>0.91532258064516125</v>
      </c>
      <c r="CX47" s="32">
        <v>0.88364055299539168</v>
      </c>
      <c r="CY47" s="32">
        <v>0.85080645161290325</v>
      </c>
      <c r="CZ47" s="32">
        <v>0.91129032258064513</v>
      </c>
      <c r="DA47" s="32">
        <v>0.85483870967741937</v>
      </c>
      <c r="DB47" s="32">
        <v>0.88306451612903225</v>
      </c>
      <c r="DC47" s="32">
        <v>0.86290322580645162</v>
      </c>
      <c r="DD47" s="32">
        <v>0.91935483870967738</v>
      </c>
      <c r="DE47" s="32">
        <v>0.91532258064516125</v>
      </c>
      <c r="DF47" s="32">
        <v>0.88536866359446997</v>
      </c>
      <c r="DG47" s="32">
        <v>0.81854838709677424</v>
      </c>
      <c r="DH47" s="32">
        <v>0.89919354838709675</v>
      </c>
      <c r="DI47" s="32">
        <v>0.87903225806451613</v>
      </c>
      <c r="DJ47" s="32">
        <v>0.842741935483871</v>
      </c>
      <c r="DK47" s="32">
        <v>0.89919354838709675</v>
      </c>
      <c r="DL47" s="32">
        <v>0.91129032258064513</v>
      </c>
      <c r="DM47" s="32">
        <v>0.89919354838709675</v>
      </c>
      <c r="DN47" s="32">
        <v>0.87845622119815669</v>
      </c>
      <c r="DO47" s="32">
        <v>0.93145161290322576</v>
      </c>
      <c r="DP47" s="32">
        <v>0.87096774193548387</v>
      </c>
      <c r="DQ47" s="32">
        <v>0.875</v>
      </c>
      <c r="DR47" s="32">
        <v>0.87903225806451613</v>
      </c>
      <c r="DS47" s="32">
        <v>0.907258064516129</v>
      </c>
      <c r="DT47" s="32">
        <v>0.88306451612903225</v>
      </c>
      <c r="DU47" s="32">
        <v>0.85483870967741937</v>
      </c>
      <c r="DV47" s="32">
        <v>0.8859447004608294</v>
      </c>
      <c r="DW47" s="32">
        <v>0.83870967741935487</v>
      </c>
      <c r="DX47" s="32">
        <v>0.875</v>
      </c>
      <c r="DY47" s="32">
        <v>0.79435483870967738</v>
      </c>
      <c r="DZ47" s="32">
        <v>0.79032258064516125</v>
      </c>
      <c r="EA47" s="32">
        <v>0.80241935483870963</v>
      </c>
      <c r="EB47" s="32">
        <v>0.92741935483870963</v>
      </c>
      <c r="EC47" s="32">
        <v>0.8588709677419355</v>
      </c>
      <c r="ED47" s="32">
        <v>0.84101382488479248</v>
      </c>
      <c r="EE47" s="32">
        <v>0.89516129032258063</v>
      </c>
      <c r="EF47" s="32">
        <v>0.83467741935483875</v>
      </c>
      <c r="EG47" s="32">
        <v>0.85483870967741937</v>
      </c>
      <c r="EH47" s="32">
        <v>0.91129032258064513</v>
      </c>
      <c r="EI47" s="32">
        <v>0.90322580645161288</v>
      </c>
      <c r="EJ47" s="32">
        <v>0.87903225806451613</v>
      </c>
      <c r="EK47" s="32">
        <v>0.91129032258064513</v>
      </c>
      <c r="EL47" s="32">
        <v>0.88421658986175111</v>
      </c>
    </row>
    <row r="48" spans="2:142" x14ac:dyDescent="0.25">
      <c r="AL48" s="19" t="s">
        <v>289</v>
      </c>
      <c r="AM48" s="32">
        <v>0.93891625615763552</v>
      </c>
      <c r="AN48" s="32">
        <v>0.97339901477832513</v>
      </c>
      <c r="AO48" s="32">
        <v>0.90246305418719208</v>
      </c>
      <c r="AP48" s="32">
        <v>0.93004926108374386</v>
      </c>
      <c r="AQ48" s="32">
        <v>0.95467980295566501</v>
      </c>
      <c r="AR48" s="32">
        <v>0.96650246305418719</v>
      </c>
      <c r="AS48" s="32">
        <v>0.97241379310344822</v>
      </c>
      <c r="AT48" s="32">
        <v>0.94834623504574256</v>
      </c>
      <c r="AU48" s="32">
        <v>0.93300492610837438</v>
      </c>
      <c r="AV48" s="32">
        <v>0.96453201970443347</v>
      </c>
      <c r="AW48" s="32">
        <v>0.89655172413793105</v>
      </c>
      <c r="AX48" s="32">
        <v>0.92315270935960592</v>
      </c>
      <c r="AY48" s="32">
        <v>0.97468354430379744</v>
      </c>
      <c r="AZ48" s="32">
        <v>0.94741966893865626</v>
      </c>
      <c r="BA48" s="32">
        <v>0.98052580331061345</v>
      </c>
      <c r="BB48" s="32">
        <v>0.94569577083763023</v>
      </c>
      <c r="BC48" s="32">
        <v>0.90392156862745099</v>
      </c>
      <c r="BD48" s="32">
        <v>0.94401544401544402</v>
      </c>
      <c r="BE48" s="32">
        <v>0.84705882352941175</v>
      </c>
      <c r="BF48" s="32">
        <v>0.85475956820412169</v>
      </c>
      <c r="BG48" s="32">
        <v>0.96480938416422291</v>
      </c>
      <c r="BH48" s="32">
        <v>0.94809010773751223</v>
      </c>
      <c r="BI48" s="32">
        <v>0.95009784735812131</v>
      </c>
      <c r="BJ48" s="32">
        <v>0.91610753480518359</v>
      </c>
      <c r="BK48" s="32">
        <v>0.79472140762463339</v>
      </c>
      <c r="BL48" s="32">
        <v>0.83562992125984248</v>
      </c>
      <c r="BM48" s="32">
        <v>0.80676328502415462</v>
      </c>
      <c r="BN48" s="32">
        <v>0.84154589371980681</v>
      </c>
      <c r="BO48" s="32">
        <v>0.7917888563049853</v>
      </c>
      <c r="BP48" s="32">
        <v>0.79081133919843594</v>
      </c>
      <c r="BQ48" s="32">
        <v>0.78180039138943247</v>
      </c>
      <c r="BR48" s="32">
        <v>0.8061515849316131</v>
      </c>
      <c r="BS48" s="32">
        <v>0.8712776176753122</v>
      </c>
      <c r="BT48" s="32">
        <v>0.88793103448275867</v>
      </c>
      <c r="BU48" s="32">
        <v>0.86608863198458574</v>
      </c>
      <c r="BV48" s="32">
        <v>0.8705656759348035</v>
      </c>
      <c r="BW48" s="32">
        <v>0.88184438040345825</v>
      </c>
      <c r="BX48" s="32">
        <v>0.84865900383141768</v>
      </c>
      <c r="BY48" s="32">
        <v>0.85494716618635924</v>
      </c>
      <c r="BZ48" s="32">
        <v>0.86875907292838495</v>
      </c>
      <c r="CA48" s="32">
        <v>0.91278493557978191</v>
      </c>
      <c r="CB48" s="32">
        <v>0.93070259865255056</v>
      </c>
      <c r="CC48" s="32">
        <v>0.89494549058473738</v>
      </c>
      <c r="CD48" s="32">
        <v>0.88480154888673768</v>
      </c>
      <c r="CE48" s="32">
        <v>0.95105566218809978</v>
      </c>
      <c r="CF48" s="32">
        <v>0.9490874159462056</v>
      </c>
      <c r="CG48" s="32">
        <v>0.95100864553314124</v>
      </c>
      <c r="CH48" s="32">
        <v>0.92491232819589353</v>
      </c>
      <c r="CI48" s="32">
        <v>0.93063583815028905</v>
      </c>
      <c r="CJ48" s="32">
        <v>0.95155038759689925</v>
      </c>
      <c r="CK48" s="32">
        <v>0.93593593593593594</v>
      </c>
      <c r="CL48" s="32">
        <v>0.93793793793793789</v>
      </c>
      <c r="CM48" s="32">
        <v>0.97381183317167797</v>
      </c>
      <c r="CN48" s="32">
        <v>0.97773475314617619</v>
      </c>
      <c r="CO48" s="32">
        <v>0.98062015503875966</v>
      </c>
      <c r="CP48" s="32">
        <v>0.95546097728252521</v>
      </c>
      <c r="CQ48" s="32">
        <v>0.96307385229540921</v>
      </c>
      <c r="CR48" s="32">
        <v>0.96711798839458418</v>
      </c>
      <c r="CS48" s="32">
        <v>0.95708582834331335</v>
      </c>
      <c r="CT48" s="32">
        <v>0.92836398838334944</v>
      </c>
      <c r="CU48" s="32">
        <v>0.94078319006685773</v>
      </c>
      <c r="CV48" s="32">
        <v>0.96239151398264222</v>
      </c>
      <c r="CW48" s="32">
        <v>0.94889103182256507</v>
      </c>
      <c r="CX48" s="32">
        <v>0.95252962761267435</v>
      </c>
      <c r="CY48" s="32">
        <v>0.94616151545363913</v>
      </c>
      <c r="CZ48" s="32">
        <v>0.96142719382835107</v>
      </c>
      <c r="DA48" s="32">
        <v>0.93333333333333335</v>
      </c>
      <c r="DB48" s="32">
        <v>0.9219653179190751</v>
      </c>
      <c r="DC48" s="32">
        <v>0.96641074856046061</v>
      </c>
      <c r="DD48" s="32">
        <v>0.94898941289701633</v>
      </c>
      <c r="DE48" s="32">
        <v>0.92285438765670202</v>
      </c>
      <c r="DF48" s="32">
        <v>0.94302027280693956</v>
      </c>
      <c r="DG48" s="32">
        <v>0.95422885572139304</v>
      </c>
      <c r="DH48" s="32">
        <v>0.94701348747591518</v>
      </c>
      <c r="DI48" s="32">
        <v>0.93532338308457708</v>
      </c>
      <c r="DJ48" s="32">
        <v>0.9219653179190751</v>
      </c>
      <c r="DK48" s="32">
        <v>0.94417709335899902</v>
      </c>
      <c r="DL48" s="32">
        <v>0.93857965451055658</v>
      </c>
      <c r="DM48" s="32">
        <v>0.93653846153846154</v>
      </c>
      <c r="DN48" s="32">
        <v>0.93968946480128246</v>
      </c>
      <c r="DO48" s="32">
        <v>0.94181459566074954</v>
      </c>
      <c r="DP48" s="32">
        <v>0.93982808022922637</v>
      </c>
      <c r="DQ48" s="32">
        <v>0.92504930966469423</v>
      </c>
      <c r="DR48" s="32">
        <v>0.91578947368421049</v>
      </c>
      <c r="DS48" s="32">
        <v>0.95893027698185296</v>
      </c>
      <c r="DT48" s="32">
        <v>0.96466093600764091</v>
      </c>
      <c r="DU48" s="32">
        <v>0.97803247373447944</v>
      </c>
      <c r="DV48" s="32">
        <v>0.94630073513755053</v>
      </c>
      <c r="DW48" s="32">
        <v>0.94059405940594054</v>
      </c>
      <c r="DX48" s="32">
        <v>0.94252873563218387</v>
      </c>
      <c r="DY48" s="32">
        <v>0.89405940594059408</v>
      </c>
      <c r="DZ48" s="32">
        <v>0.88771593090211132</v>
      </c>
      <c r="EA48" s="32">
        <v>0.94636015325670497</v>
      </c>
      <c r="EB48" s="32">
        <v>0.95210727969348663</v>
      </c>
      <c r="EC48" s="32">
        <v>0.94348659003831414</v>
      </c>
      <c r="ED48" s="32">
        <v>0.92955030783847659</v>
      </c>
      <c r="EE48" s="32">
        <v>0.92566897918731417</v>
      </c>
      <c r="EF48" s="32">
        <v>0.87884615384615383</v>
      </c>
      <c r="EG48" s="32">
        <v>0.92031872509960155</v>
      </c>
      <c r="EH48" s="32">
        <v>0.87896253602305474</v>
      </c>
      <c r="EI48" s="32">
        <v>0.91554702495201534</v>
      </c>
      <c r="EJ48" s="32">
        <v>0.92870905587668595</v>
      </c>
      <c r="EK48" s="32">
        <v>0.90699904122722919</v>
      </c>
      <c r="EL48" s="32">
        <v>0.90786450231600779</v>
      </c>
    </row>
    <row r="49" spans="38:142" x14ac:dyDescent="0.25">
      <c r="AL49" s="19" t="s">
        <v>104</v>
      </c>
      <c r="AM49" s="32">
        <v>0.9138755980861244</v>
      </c>
      <c r="AN49" s="32">
        <v>0.92574734811957571</v>
      </c>
      <c r="AO49" s="32">
        <v>0.86577181208053688</v>
      </c>
      <c r="AP49" s="32">
        <v>0.88910318225650919</v>
      </c>
      <c r="AQ49" s="32">
        <v>0.92918660287081345</v>
      </c>
      <c r="AR49" s="32">
        <v>0.93480345158197509</v>
      </c>
      <c r="AS49" s="32">
        <v>0.94173829990448898</v>
      </c>
      <c r="AT49" s="32">
        <v>0.91431804212857481</v>
      </c>
      <c r="AU49" s="32">
        <v>0.94889103182256507</v>
      </c>
      <c r="AV49" s="32">
        <v>0.93635486981677918</v>
      </c>
      <c r="AW49" s="32">
        <v>0.93635486981677918</v>
      </c>
      <c r="AX49" s="32">
        <v>0.92574734811957571</v>
      </c>
      <c r="AY49" s="32">
        <v>0.94021215043394402</v>
      </c>
      <c r="AZ49" s="32">
        <v>0.94696239151398265</v>
      </c>
      <c r="BA49" s="32">
        <v>0.92767598842815813</v>
      </c>
      <c r="BB49" s="32">
        <v>0.93745694999311191</v>
      </c>
      <c r="BC49" s="32">
        <v>0.9475190839694656</v>
      </c>
      <c r="BD49" s="32">
        <v>0.93346190935390549</v>
      </c>
      <c r="BE49" s="32">
        <v>0.92092574734811961</v>
      </c>
      <c r="BF49" s="32">
        <v>0.90163934426229508</v>
      </c>
      <c r="BG49" s="32">
        <v>0.94947569113441377</v>
      </c>
      <c r="BH49" s="32">
        <v>0.94412331406551064</v>
      </c>
      <c r="BI49" s="32">
        <v>0.95857418111753367</v>
      </c>
      <c r="BJ49" s="32">
        <v>0.93653132446446352</v>
      </c>
      <c r="BK49" s="32">
        <v>0.87234042553191493</v>
      </c>
      <c r="BL49" s="32">
        <v>0.94534995206136141</v>
      </c>
      <c r="BM49" s="32">
        <v>0.87234042553191493</v>
      </c>
      <c r="BN49" s="32">
        <v>0.86170212765957444</v>
      </c>
      <c r="BO49" s="32">
        <v>0.82398452611218564</v>
      </c>
      <c r="BP49" s="32">
        <v>0.89741131351869607</v>
      </c>
      <c r="BQ49" s="32">
        <v>0.81818181818181823</v>
      </c>
      <c r="BR49" s="32">
        <v>0.87018722694249517</v>
      </c>
      <c r="BS49" s="32">
        <v>0.91910331384015598</v>
      </c>
      <c r="BT49" s="32">
        <v>0.88241010689990285</v>
      </c>
      <c r="BU49" s="32">
        <v>0.8808139534883721</v>
      </c>
      <c r="BV49" s="32">
        <v>0.85422740524781338</v>
      </c>
      <c r="BW49" s="32">
        <v>0.88596491228070173</v>
      </c>
      <c r="BX49" s="32">
        <v>0.88499025341130599</v>
      </c>
      <c r="BY49" s="32">
        <v>0.84892787524366475</v>
      </c>
      <c r="BZ49" s="32">
        <v>0.87949111720170237</v>
      </c>
      <c r="CA49" s="32">
        <v>0.94975845410628024</v>
      </c>
      <c r="CB49" s="32">
        <v>0.92128279883381925</v>
      </c>
      <c r="CC49" s="32">
        <v>0.93992248062015504</v>
      </c>
      <c r="CD49" s="32">
        <v>0.93313953488372092</v>
      </c>
      <c r="CE49" s="32">
        <v>0.94157088122605359</v>
      </c>
      <c r="CF49" s="32">
        <v>0.93647738209817133</v>
      </c>
      <c r="CG49" s="32">
        <v>0.95187680461982671</v>
      </c>
      <c r="CH49" s="32">
        <v>0.93914690519828958</v>
      </c>
      <c r="CI49" s="32">
        <v>0.91754554170661551</v>
      </c>
      <c r="CJ49" s="32">
        <v>0.93629343629343631</v>
      </c>
      <c r="CK49" s="32">
        <v>0.91754554170661551</v>
      </c>
      <c r="CL49" s="32">
        <v>0.85426653883029724</v>
      </c>
      <c r="CM49" s="32">
        <v>0.91754554170661551</v>
      </c>
      <c r="CN49" s="32">
        <v>0.95572666025024067</v>
      </c>
      <c r="CO49" s="32">
        <v>0.93767976989453494</v>
      </c>
      <c r="CP49" s="32">
        <v>0.91951471862690781</v>
      </c>
      <c r="CQ49" s="32">
        <v>0.91117478510028649</v>
      </c>
      <c r="CR49" s="32">
        <v>0.89913544668587897</v>
      </c>
      <c r="CS49" s="32">
        <v>0.91770334928229669</v>
      </c>
      <c r="CT49" s="32">
        <v>0.92918660287081345</v>
      </c>
      <c r="CU49" s="32">
        <v>0.91196172248803831</v>
      </c>
      <c r="CV49" s="32">
        <v>0.92351816443594648</v>
      </c>
      <c r="CW49" s="32">
        <v>0.9130019120458891</v>
      </c>
      <c r="CX49" s="32">
        <v>0.91509742612987854</v>
      </c>
      <c r="CY49" s="32">
        <v>0.93282149712092133</v>
      </c>
      <c r="CZ49" s="32">
        <v>0.93696275071633239</v>
      </c>
      <c r="DA49" s="32">
        <v>0.88675623800383874</v>
      </c>
      <c r="DB49" s="32">
        <v>0.89635316698656431</v>
      </c>
      <c r="DC49" s="32">
        <v>0.93971291866028706</v>
      </c>
      <c r="DD49" s="32">
        <v>0.94937917860553966</v>
      </c>
      <c r="DE49" s="32">
        <v>0.93409742120343842</v>
      </c>
      <c r="DF49" s="32">
        <v>0.92515473875670318</v>
      </c>
      <c r="DG49" s="32">
        <v>0.91179290508149569</v>
      </c>
      <c r="DH49" s="32">
        <v>0.93948126801152743</v>
      </c>
      <c r="DI49" s="32">
        <v>0.8983700862895494</v>
      </c>
      <c r="DJ49" s="32">
        <v>0.86385426653883035</v>
      </c>
      <c r="DK49" s="32">
        <v>0.94726749760306805</v>
      </c>
      <c r="DL49" s="32">
        <v>0.94145873320537432</v>
      </c>
      <c r="DM49" s="32">
        <v>0.93767976989453494</v>
      </c>
      <c r="DN49" s="32">
        <v>0.91998636094634001</v>
      </c>
      <c r="DO49" s="32">
        <v>0.95014381591562802</v>
      </c>
      <c r="DP49" s="32">
        <v>0.91850431447746883</v>
      </c>
      <c r="DQ49" s="32">
        <v>0.89196940726577434</v>
      </c>
      <c r="DR49" s="32">
        <v>0.87954110898661564</v>
      </c>
      <c r="DS49" s="32">
        <v>0.94055608820709491</v>
      </c>
      <c r="DT49" s="32">
        <v>0.95493767976989452</v>
      </c>
      <c r="DU49" s="32">
        <v>0.93576222435282841</v>
      </c>
      <c r="DV49" s="32">
        <v>0.92448780556790067</v>
      </c>
      <c r="DW49" s="32">
        <v>0.94072657743785848</v>
      </c>
      <c r="DX49" s="32">
        <v>0.95019157088122608</v>
      </c>
      <c r="DY49" s="32">
        <v>0.94072657743785848</v>
      </c>
      <c r="DZ49" s="32">
        <v>0.84416826003824097</v>
      </c>
      <c r="EA49" s="32">
        <v>0.94072657743785848</v>
      </c>
      <c r="EB49" s="32">
        <v>0.95019157088122608</v>
      </c>
      <c r="EC49" s="32">
        <v>0.93672099712368173</v>
      </c>
      <c r="ED49" s="32">
        <v>0.92906459017684995</v>
      </c>
      <c r="EE49" s="32">
        <v>0.91117478510028649</v>
      </c>
      <c r="EF49" s="32">
        <v>0.88527724665391971</v>
      </c>
      <c r="EG49" s="32">
        <v>0.87152444870565671</v>
      </c>
      <c r="EH49" s="32">
        <v>0.8705656759348035</v>
      </c>
      <c r="EI49" s="32">
        <v>0.92454632282712512</v>
      </c>
      <c r="EJ49" s="32">
        <v>0.93288590604026844</v>
      </c>
      <c r="EK49" s="32">
        <v>0.94460362941738296</v>
      </c>
      <c r="EL49" s="32">
        <v>0.90579685923992048</v>
      </c>
    </row>
    <row r="50" spans="38:142" x14ac:dyDescent="0.25">
      <c r="AL50" s="19" t="s">
        <v>105</v>
      </c>
      <c r="AM50" s="32">
        <v>1</v>
      </c>
      <c r="AN50" s="32">
        <v>1</v>
      </c>
      <c r="AO50" s="32">
        <v>1</v>
      </c>
      <c r="AP50" s="32">
        <v>0.99115044247787609</v>
      </c>
      <c r="AQ50" s="32">
        <v>1</v>
      </c>
      <c r="AR50" s="32">
        <v>1</v>
      </c>
      <c r="AS50" s="32">
        <v>1</v>
      </c>
      <c r="AT50" s="32">
        <v>0.99873577749683939</v>
      </c>
      <c r="AU50" s="32">
        <v>0.9826086956521739</v>
      </c>
      <c r="AV50" s="32">
        <v>1</v>
      </c>
      <c r="AW50" s="32">
        <v>0.99141630901287559</v>
      </c>
      <c r="AX50" s="32">
        <v>0.99574468085106382</v>
      </c>
      <c r="AY50" s="32">
        <v>0.99551569506726456</v>
      </c>
      <c r="AZ50" s="32">
        <v>0.9956521739130435</v>
      </c>
      <c r="BA50" s="32">
        <v>0.99115044247787609</v>
      </c>
      <c r="BB50" s="32">
        <v>0.99315542813918534</v>
      </c>
      <c r="BC50" s="32">
        <v>0.96491228070175439</v>
      </c>
      <c r="BD50" s="32">
        <v>0.99111111111111116</v>
      </c>
      <c r="BE50" s="32">
        <v>0.97379912663755464</v>
      </c>
      <c r="BF50" s="32">
        <v>1</v>
      </c>
      <c r="BG50" s="32">
        <v>0.9866071428571429</v>
      </c>
      <c r="BH50" s="32">
        <v>0.9913419913419913</v>
      </c>
      <c r="BI50" s="32">
        <v>0.99563318777292575</v>
      </c>
      <c r="BJ50" s="32">
        <v>0.98620069148892575</v>
      </c>
      <c r="BK50" s="32">
        <v>1</v>
      </c>
      <c r="BL50" s="32">
        <v>0.95454545454545459</v>
      </c>
      <c r="BM50" s="32">
        <v>0.96363636363636362</v>
      </c>
      <c r="BN50" s="32">
        <v>0.95909090909090911</v>
      </c>
      <c r="BO50" s="32">
        <v>1</v>
      </c>
      <c r="BP50" s="32">
        <v>0.96818181818181814</v>
      </c>
      <c r="BQ50" s="32">
        <v>0.99090909090909096</v>
      </c>
      <c r="BR50" s="32">
        <v>0.97662337662337673</v>
      </c>
      <c r="BS50" s="32">
        <v>0.97727272727272729</v>
      </c>
      <c r="BT50" s="32">
        <v>0.97379912663755464</v>
      </c>
      <c r="BU50" s="32">
        <v>0.97816593886462877</v>
      </c>
      <c r="BV50" s="32">
        <v>0.98706896551724133</v>
      </c>
      <c r="BW50" s="32">
        <v>0.97368421052631582</v>
      </c>
      <c r="BX50" s="32">
        <v>0.99115044247787609</v>
      </c>
      <c r="BY50" s="32">
        <v>0.98230088495575218</v>
      </c>
      <c r="BZ50" s="32">
        <v>0.98049175660744226</v>
      </c>
      <c r="CA50" s="32">
        <v>0.98245614035087714</v>
      </c>
      <c r="CB50" s="32">
        <v>0.99118942731277537</v>
      </c>
      <c r="CC50" s="32">
        <v>0.98237885462555063</v>
      </c>
      <c r="CD50" s="32">
        <v>0.97435897435897434</v>
      </c>
      <c r="CE50" s="32">
        <v>1</v>
      </c>
      <c r="CF50" s="32">
        <v>0.98684210526315785</v>
      </c>
      <c r="CG50" s="32">
        <v>1</v>
      </c>
      <c r="CH50" s="32">
        <v>0.98817507170161945</v>
      </c>
      <c r="CI50" s="32">
        <v>0.98237885462555063</v>
      </c>
      <c r="CJ50" s="32">
        <v>0.96943231441048039</v>
      </c>
      <c r="CK50" s="32">
        <v>0.98290598290598286</v>
      </c>
      <c r="CL50" s="32">
        <v>0.96916299559471364</v>
      </c>
      <c r="CM50" s="32">
        <v>0.98297872340425529</v>
      </c>
      <c r="CN50" s="32">
        <v>0.99145299145299148</v>
      </c>
      <c r="CO50" s="32">
        <v>0.98268398268398272</v>
      </c>
      <c r="CP50" s="32">
        <v>0.98014226358256529</v>
      </c>
      <c r="CQ50" s="32">
        <v>0.99163179916317989</v>
      </c>
      <c r="CR50" s="32">
        <v>0.96734693877551026</v>
      </c>
      <c r="CS50" s="32">
        <v>0.97925311203319498</v>
      </c>
      <c r="CT50" s="32">
        <v>0.96721311475409832</v>
      </c>
      <c r="CU50" s="32">
        <v>0.99180327868852458</v>
      </c>
      <c r="CV50" s="32">
        <v>0.96761133603238869</v>
      </c>
      <c r="CW50" s="32">
        <v>0.97983870967741937</v>
      </c>
      <c r="CX50" s="32">
        <v>0.97781404130347382</v>
      </c>
      <c r="CY50" s="32">
        <v>0.96442687747035571</v>
      </c>
      <c r="CZ50" s="32">
        <v>0.94560669456066948</v>
      </c>
      <c r="DA50" s="32">
        <v>0.97276264591439687</v>
      </c>
      <c r="DB50" s="32">
        <v>0.99230769230769234</v>
      </c>
      <c r="DC50" s="32">
        <v>0.97131147540983609</v>
      </c>
      <c r="DD50" s="32">
        <v>0.97468354430379744</v>
      </c>
      <c r="DE50" s="32">
        <v>0.98770491803278693</v>
      </c>
      <c r="DF50" s="32">
        <v>0.97268626399993352</v>
      </c>
      <c r="DG50" s="32">
        <v>0.94023904382470125</v>
      </c>
      <c r="DH50" s="32">
        <v>0.99215686274509807</v>
      </c>
      <c r="DI50" s="32">
        <v>0.93801652892561982</v>
      </c>
      <c r="DJ50" s="32">
        <v>0.94023904382470125</v>
      </c>
      <c r="DK50" s="32">
        <v>0.98775510204081629</v>
      </c>
      <c r="DL50" s="32">
        <v>0.99610894941634243</v>
      </c>
      <c r="DM50" s="32">
        <v>0.99596774193548387</v>
      </c>
      <c r="DN50" s="32">
        <v>0.97006903895896612</v>
      </c>
      <c r="DO50" s="32">
        <v>0.98015873015873012</v>
      </c>
      <c r="DP50" s="32">
        <v>0.96812749003984067</v>
      </c>
      <c r="DQ50" s="32">
        <v>0.96414342629482075</v>
      </c>
      <c r="DR50" s="32">
        <v>0.99221789883268485</v>
      </c>
      <c r="DS50" s="32">
        <v>0.97211155378486058</v>
      </c>
      <c r="DT50" s="32">
        <v>0.98406374501992033</v>
      </c>
      <c r="DU50" s="32">
        <v>0.97211155378486058</v>
      </c>
      <c r="DV50" s="32">
        <v>0.97613348541653111</v>
      </c>
      <c r="DW50" s="32">
        <v>0.98360655737704916</v>
      </c>
      <c r="DX50" s="32">
        <v>0.96799999999999997</v>
      </c>
      <c r="DY50" s="32">
        <v>0.97560975609756095</v>
      </c>
      <c r="DZ50" s="32">
        <v>0.98373983739837401</v>
      </c>
      <c r="EA50" s="32">
        <v>0.99203187250996017</v>
      </c>
      <c r="EB50" s="32">
        <v>0.97599999999999998</v>
      </c>
      <c r="EC50" s="32">
        <v>0.96</v>
      </c>
      <c r="ED50" s="32">
        <v>0.97699828905470631</v>
      </c>
      <c r="EE50" s="32">
        <v>0.9642857142857143</v>
      </c>
      <c r="EF50" s="32">
        <v>0.96296296296296291</v>
      </c>
      <c r="EG50" s="32">
        <v>0.9642857142857143</v>
      </c>
      <c r="EH50" s="32">
        <v>0.95256916996047436</v>
      </c>
      <c r="EI50" s="32">
        <v>0.99224806201550386</v>
      </c>
      <c r="EJ50" s="32">
        <v>0.98406374501992033</v>
      </c>
      <c r="EK50" s="32">
        <v>0.99606299212598426</v>
      </c>
      <c r="EL50" s="32">
        <v>0.97378262295089635</v>
      </c>
    </row>
    <row r="51" spans="38:142" x14ac:dyDescent="0.25">
      <c r="AL51" s="19" t="s">
        <v>106</v>
      </c>
      <c r="AM51" s="32">
        <v>0.99024390243902438</v>
      </c>
      <c r="AN51" s="32">
        <v>1</v>
      </c>
      <c r="AO51" s="32">
        <v>0.94117647058823528</v>
      </c>
      <c r="AP51" s="32">
        <v>0.92364532019704437</v>
      </c>
      <c r="AQ51" s="32">
        <v>0.94390243902439019</v>
      </c>
      <c r="AR51" s="32">
        <v>1</v>
      </c>
      <c r="AS51" s="32">
        <v>1</v>
      </c>
      <c r="AT51" s="32">
        <v>0.97128116174981349</v>
      </c>
      <c r="AU51" s="32">
        <v>0.92439024390243907</v>
      </c>
      <c r="AV51" s="32">
        <v>0.92364532019704437</v>
      </c>
      <c r="AW51" s="32">
        <v>0.95388349514563109</v>
      </c>
      <c r="AX51" s="32">
        <v>1</v>
      </c>
      <c r="AY51" s="32">
        <v>0.93627450980392157</v>
      </c>
      <c r="AZ51" s="32">
        <v>0.91625615763546797</v>
      </c>
      <c r="BA51" s="32">
        <v>0.93430656934306566</v>
      </c>
      <c r="BB51" s="32">
        <v>0.94125089943250995</v>
      </c>
      <c r="BC51" s="32">
        <v>0.98090692124105017</v>
      </c>
      <c r="BD51" s="32">
        <v>0.98333333333333328</v>
      </c>
      <c r="BE51" s="32">
        <v>0.97037037037037033</v>
      </c>
      <c r="BF51" s="32">
        <v>0.95049504950495045</v>
      </c>
      <c r="BG51" s="32">
        <v>0.96420047732696901</v>
      </c>
      <c r="BH51" s="32">
        <v>1</v>
      </c>
      <c r="BI51" s="32">
        <v>0.96650717703349287</v>
      </c>
      <c r="BJ51" s="32">
        <v>0.97368761840145235</v>
      </c>
      <c r="BK51" s="32">
        <v>0.9251207729468599</v>
      </c>
      <c r="BL51" s="32">
        <v>0.9285714285714286</v>
      </c>
      <c r="BM51" s="32">
        <v>0.8571428571428571</v>
      </c>
      <c r="BN51" s="32">
        <v>0.90533980582524276</v>
      </c>
      <c r="BO51" s="32">
        <v>0.92768079800498748</v>
      </c>
      <c r="BP51" s="32">
        <v>0.9356435643564357</v>
      </c>
      <c r="BQ51" s="32">
        <v>0.84289276807980051</v>
      </c>
      <c r="BR51" s="32">
        <v>0.90319885641823028</v>
      </c>
      <c r="BS51" s="32">
        <v>0.98333333333333328</v>
      </c>
      <c r="BT51" s="32">
        <v>0.93794749403341293</v>
      </c>
      <c r="BU51" s="32">
        <v>0.99047619047619051</v>
      </c>
      <c r="BV51" s="32">
        <v>0.97387173396674587</v>
      </c>
      <c r="BW51" s="32">
        <v>0.93317422434367536</v>
      </c>
      <c r="BX51" s="32">
        <v>0.95</v>
      </c>
      <c r="BY51" s="32">
        <v>0.91885441527446299</v>
      </c>
      <c r="BZ51" s="32">
        <v>0.95537962734683146</v>
      </c>
      <c r="CA51" s="32">
        <v>0.99511002444987773</v>
      </c>
      <c r="CB51" s="32">
        <v>0.98812351543942989</v>
      </c>
      <c r="CC51" s="32">
        <v>0.99266503667481665</v>
      </c>
      <c r="CD51" s="32">
        <v>0.96836982968369834</v>
      </c>
      <c r="CE51" s="32">
        <v>0.93364928909952605</v>
      </c>
      <c r="CF51" s="32">
        <v>1</v>
      </c>
      <c r="CG51" s="32">
        <v>1</v>
      </c>
      <c r="CH51" s="32">
        <v>0.98255967076390693</v>
      </c>
      <c r="CI51" s="32">
        <v>0.94594594594594594</v>
      </c>
      <c r="CJ51" s="32">
        <v>0.99268292682926829</v>
      </c>
      <c r="CK51" s="32">
        <v>0.95533498759305213</v>
      </c>
      <c r="CL51" s="32">
        <v>0.95331695331695332</v>
      </c>
      <c r="CM51" s="32">
        <v>0.98044009779951102</v>
      </c>
      <c r="CN51" s="32">
        <v>1</v>
      </c>
      <c r="CO51" s="32">
        <v>0.98536585365853657</v>
      </c>
      <c r="CP51" s="32">
        <v>0.9732981093061811</v>
      </c>
      <c r="CQ51" s="32">
        <v>0.94540942928039706</v>
      </c>
      <c r="CR51" s="32">
        <v>0.98774509803921573</v>
      </c>
      <c r="CS51" s="32">
        <v>0.94074074074074077</v>
      </c>
      <c r="CT51" s="32">
        <v>0.94540942928039706</v>
      </c>
      <c r="CU51" s="32">
        <v>0.96323529411764708</v>
      </c>
      <c r="CV51" s="32">
        <v>1</v>
      </c>
      <c r="CW51" s="32">
        <v>0.99755501222493892</v>
      </c>
      <c r="CX51" s="32">
        <v>0.96858500052619101</v>
      </c>
      <c r="CY51" s="32">
        <v>0.99264705882352944</v>
      </c>
      <c r="CZ51" s="32">
        <v>0.93842364532019706</v>
      </c>
      <c r="DA51" s="32">
        <v>0.95261845386533661</v>
      </c>
      <c r="DB51" s="32">
        <v>0.96568627450980393</v>
      </c>
      <c r="DC51" s="32">
        <v>0.98284313725490191</v>
      </c>
      <c r="DD51" s="32">
        <v>0.94074074074074077</v>
      </c>
      <c r="DE51" s="32">
        <v>0.98529411764705888</v>
      </c>
      <c r="DF51" s="32">
        <v>0.96546477545165266</v>
      </c>
      <c r="DG51" s="32">
        <v>0.99511002444987773</v>
      </c>
      <c r="DH51" s="32">
        <v>1</v>
      </c>
      <c r="DI51" s="32">
        <v>0.98029556650246308</v>
      </c>
      <c r="DJ51" s="32">
        <v>1</v>
      </c>
      <c r="DK51" s="32">
        <v>0.98777506112469438</v>
      </c>
      <c r="DL51" s="32">
        <v>1</v>
      </c>
      <c r="DM51" s="32">
        <v>0.9682151589242054</v>
      </c>
      <c r="DN51" s="32">
        <v>0.99019940157160569</v>
      </c>
      <c r="DO51" s="32">
        <v>1</v>
      </c>
      <c r="DP51" s="32">
        <v>1</v>
      </c>
      <c r="DQ51" s="32">
        <v>0.99268292682926829</v>
      </c>
      <c r="DR51" s="32">
        <v>0.9975609756097561</v>
      </c>
      <c r="DS51" s="32">
        <v>1</v>
      </c>
      <c r="DT51" s="32">
        <v>1</v>
      </c>
      <c r="DU51" s="32">
        <v>1</v>
      </c>
      <c r="DV51" s="32">
        <v>0.99860627177700345</v>
      </c>
      <c r="DW51" s="32">
        <v>1</v>
      </c>
      <c r="DX51" s="32">
        <v>1</v>
      </c>
      <c r="DY51" s="32">
        <v>1</v>
      </c>
      <c r="DZ51" s="32">
        <v>1</v>
      </c>
      <c r="EA51" s="32">
        <v>1</v>
      </c>
      <c r="EB51" s="32">
        <v>1</v>
      </c>
      <c r="EC51" s="32">
        <v>1</v>
      </c>
      <c r="ED51" s="32">
        <v>1</v>
      </c>
      <c r="EE51" s="32">
        <v>1</v>
      </c>
      <c r="EF51" s="32">
        <v>1</v>
      </c>
      <c r="EG51" s="32">
        <v>1</v>
      </c>
      <c r="EH51" s="32">
        <v>1</v>
      </c>
      <c r="EI51" s="32">
        <v>1</v>
      </c>
      <c r="EJ51" s="32">
        <v>0.99512195121951219</v>
      </c>
      <c r="EK51" s="32">
        <v>1</v>
      </c>
      <c r="EL51" s="32">
        <v>0.99930313588850173</v>
      </c>
    </row>
    <row r="52" spans="38:142" x14ac:dyDescent="0.25">
      <c r="AL52" s="19" t="s">
        <v>107</v>
      </c>
      <c r="AM52" s="32">
        <v>0.98884758364312264</v>
      </c>
      <c r="AN52" s="32">
        <v>0.99818511796733211</v>
      </c>
      <c r="AO52" s="32">
        <v>0.97605893186003678</v>
      </c>
      <c r="AP52" s="32">
        <v>1</v>
      </c>
      <c r="AQ52" s="32">
        <v>0.98909090909090913</v>
      </c>
      <c r="AR52" s="32">
        <v>0.99094202898550721</v>
      </c>
      <c r="AS52" s="32">
        <v>0.99642218246869407</v>
      </c>
      <c r="AT52" s="32">
        <v>0.99136382200222883</v>
      </c>
      <c r="AU52" s="32">
        <v>0.98703703703703705</v>
      </c>
      <c r="AV52" s="32">
        <v>1</v>
      </c>
      <c r="AW52" s="32">
        <v>0.99453551912568305</v>
      </c>
      <c r="AX52" s="32">
        <v>1</v>
      </c>
      <c r="AY52" s="32">
        <v>0.98381294964028776</v>
      </c>
      <c r="AZ52" s="32">
        <v>0.99638989169675085</v>
      </c>
      <c r="BA52" s="32">
        <v>0.99467140319715808</v>
      </c>
      <c r="BB52" s="32">
        <v>0.99377811438527375</v>
      </c>
      <c r="BC52" s="32">
        <v>0.96195652173913049</v>
      </c>
      <c r="BD52" s="32">
        <v>0.99820466786355477</v>
      </c>
      <c r="BE52" s="32">
        <v>0.97058823529411764</v>
      </c>
      <c r="BF52" s="32">
        <v>0.97614678899082574</v>
      </c>
      <c r="BG52" s="32">
        <v>0.98378378378378384</v>
      </c>
      <c r="BH52" s="32">
        <v>0.98922800718132853</v>
      </c>
      <c r="BI52" s="32">
        <v>0.98555956678700363</v>
      </c>
      <c r="BJ52" s="32">
        <v>0.98078108166282074</v>
      </c>
      <c r="BK52" s="32">
        <v>0.96897810218978098</v>
      </c>
      <c r="BL52" s="32">
        <v>0.97201492537313428</v>
      </c>
      <c r="BM52" s="32">
        <v>0.97499999999999998</v>
      </c>
      <c r="BN52" s="32">
        <v>0.99472759226713536</v>
      </c>
      <c r="BO52" s="32">
        <v>0.96857670979667287</v>
      </c>
      <c r="BP52" s="32">
        <v>0.9013035381750466</v>
      </c>
      <c r="BQ52" s="32">
        <v>0.91247672253258849</v>
      </c>
      <c r="BR52" s="32">
        <v>0.95615394147633681</v>
      </c>
      <c r="BS52" s="32">
        <v>0.989492119089317</v>
      </c>
      <c r="BT52" s="32">
        <v>0.97022767075306482</v>
      </c>
      <c r="BU52" s="32">
        <v>0.98442906574394462</v>
      </c>
      <c r="BV52" s="32">
        <v>0.98113207547169812</v>
      </c>
      <c r="BW52" s="32">
        <v>0.987719298245614</v>
      </c>
      <c r="BX52" s="32">
        <v>0.95721925133689845</v>
      </c>
      <c r="BY52" s="32">
        <v>0.94982078853046592</v>
      </c>
      <c r="BZ52" s="32">
        <v>0.97429146702442893</v>
      </c>
      <c r="CA52" s="32">
        <v>0.97522123893805313</v>
      </c>
      <c r="CB52" s="32">
        <v>0.98984771573604058</v>
      </c>
      <c r="CC52" s="32">
        <v>0.9733096085409253</v>
      </c>
      <c r="CD52" s="32">
        <v>0.98589065255731922</v>
      </c>
      <c r="CE52" s="32">
        <v>0.98073555166374782</v>
      </c>
      <c r="CF52" s="32">
        <v>0.98032200357781751</v>
      </c>
      <c r="CG52" s="32">
        <v>0.98579040852575484</v>
      </c>
      <c r="CH52" s="32">
        <v>0.98158816850566555</v>
      </c>
      <c r="CI52" s="32">
        <v>0.9853479853479854</v>
      </c>
      <c r="CJ52" s="32">
        <v>0.97868561278863231</v>
      </c>
      <c r="CK52" s="32">
        <v>0.97992700729927007</v>
      </c>
      <c r="CL52" s="32">
        <v>0.98561151079136688</v>
      </c>
      <c r="CM52" s="32">
        <v>0.98529411764705888</v>
      </c>
      <c r="CN52" s="32">
        <v>0.99274047186932846</v>
      </c>
      <c r="CO52" s="32">
        <v>0.98548094373865702</v>
      </c>
      <c r="CP52" s="32">
        <v>0.98472680706889981</v>
      </c>
      <c r="CQ52" s="32">
        <v>0.95840867992766732</v>
      </c>
      <c r="CR52" s="32">
        <v>0.98584070796460177</v>
      </c>
      <c r="CS52" s="32">
        <v>0.98360655737704916</v>
      </c>
      <c r="CT52" s="32">
        <v>0.9946236559139785</v>
      </c>
      <c r="CU52" s="32">
        <v>0.9642857142857143</v>
      </c>
      <c r="CV52" s="32">
        <v>0.98073555166374782</v>
      </c>
      <c r="CW52" s="32">
        <v>0.99110320284697506</v>
      </c>
      <c r="CX52" s="32">
        <v>0.97980058142567628</v>
      </c>
      <c r="CY52" s="32">
        <v>0.95825771324863884</v>
      </c>
      <c r="CZ52" s="32">
        <v>0.9873646209386282</v>
      </c>
      <c r="DA52" s="32">
        <v>0.97101449275362317</v>
      </c>
      <c r="DB52" s="32">
        <v>0.98378378378378384</v>
      </c>
      <c r="DC52" s="32">
        <v>0.98395721925133695</v>
      </c>
      <c r="DD52" s="32">
        <v>0.99103942652329746</v>
      </c>
      <c r="DE52" s="32">
        <v>0.99284436493738815</v>
      </c>
      <c r="DF52" s="32">
        <v>0.98118023163381374</v>
      </c>
      <c r="DG52" s="32">
        <v>0.95152603231597843</v>
      </c>
      <c r="DH52" s="32">
        <v>0.98918918918918919</v>
      </c>
      <c r="DI52" s="32">
        <v>0.9730215827338129</v>
      </c>
      <c r="DJ52" s="32">
        <v>0.98920863309352514</v>
      </c>
      <c r="DK52" s="32">
        <v>0.97857142857142854</v>
      </c>
      <c r="DL52" s="32">
        <v>0.99289520426287747</v>
      </c>
      <c r="DM52" s="32">
        <v>0.97686832740213525</v>
      </c>
      <c r="DN52" s="32">
        <v>0.9787543425098495</v>
      </c>
      <c r="DO52" s="32">
        <v>0.97649186256781195</v>
      </c>
      <c r="DP52" s="32">
        <v>0.98930481283422456</v>
      </c>
      <c r="DQ52" s="32">
        <v>0.97830018083182635</v>
      </c>
      <c r="DR52" s="32">
        <v>0.97845601436265706</v>
      </c>
      <c r="DS52" s="32">
        <v>0.98066783831282955</v>
      </c>
      <c r="DT52" s="32">
        <v>0.98584070796460177</v>
      </c>
      <c r="DU52" s="32">
        <v>0.96466431095406358</v>
      </c>
      <c r="DV52" s="32">
        <v>0.97910367540400201</v>
      </c>
      <c r="DW52" s="32">
        <v>0.96415770609318996</v>
      </c>
      <c r="DX52" s="32">
        <v>0.97158081705150978</v>
      </c>
      <c r="DY52" s="32">
        <v>0.96415770609318996</v>
      </c>
      <c r="DZ52" s="32">
        <v>0.96415770609318996</v>
      </c>
      <c r="EA52" s="32">
        <v>0.96250000000000002</v>
      </c>
      <c r="EB52" s="32">
        <v>0.96447602131438726</v>
      </c>
      <c r="EC52" s="32">
        <v>0.95914742451154533</v>
      </c>
      <c r="ED52" s="32">
        <v>0.96431105445100196</v>
      </c>
      <c r="EE52" s="32">
        <v>0.99103942652329746</v>
      </c>
      <c r="EF52" s="32">
        <v>0.96415770609318996</v>
      </c>
      <c r="EG52" s="32">
        <v>0.96064400715563503</v>
      </c>
      <c r="EH52" s="32">
        <v>0.99644128113879005</v>
      </c>
      <c r="EI52" s="32">
        <v>0.96050269299820468</v>
      </c>
      <c r="EJ52" s="32">
        <v>0.99293286219081267</v>
      </c>
      <c r="EK52" s="32">
        <v>0.977112676056338</v>
      </c>
      <c r="EL52" s="32">
        <v>0.97754723602232396</v>
      </c>
    </row>
    <row r="53" spans="38:142" x14ac:dyDescent="0.25">
      <c r="AL53" s="19" t="s">
        <v>108</v>
      </c>
      <c r="AM53" s="32">
        <v>0.96447076239822349</v>
      </c>
      <c r="AN53" s="32">
        <v>1</v>
      </c>
      <c r="AO53" s="32">
        <v>0.97855029585798814</v>
      </c>
      <c r="AP53" s="32">
        <v>0.97856614929785657</v>
      </c>
      <c r="AQ53" s="32">
        <v>0.97640117994100295</v>
      </c>
      <c r="AR53" s="32">
        <v>0.99186390532544377</v>
      </c>
      <c r="AS53" s="32">
        <v>0.99851961509992593</v>
      </c>
      <c r="AT53" s="32">
        <v>0.98405312970292003</v>
      </c>
      <c r="AU53" s="32">
        <v>0.99630177514792895</v>
      </c>
      <c r="AV53" s="32">
        <v>0.99851961509992593</v>
      </c>
      <c r="AW53" s="32">
        <v>0.99408284023668636</v>
      </c>
      <c r="AX53" s="32">
        <v>1</v>
      </c>
      <c r="AY53" s="32">
        <v>0.99113082039911304</v>
      </c>
      <c r="AZ53" s="32">
        <v>0.99330855018587361</v>
      </c>
      <c r="BA53" s="32">
        <v>0.99109792284866471</v>
      </c>
      <c r="BB53" s="32">
        <v>0.99492021770259897</v>
      </c>
      <c r="BC53" s="32">
        <v>0.98880597014925375</v>
      </c>
      <c r="BD53" s="32">
        <v>0.99629355077835435</v>
      </c>
      <c r="BE53" s="32">
        <v>0.99482631189948267</v>
      </c>
      <c r="BF53" s="32">
        <v>0.99704360679970438</v>
      </c>
      <c r="BG53" s="32">
        <v>0.98892171344165436</v>
      </c>
      <c r="BH53" s="32">
        <v>0.99777117384843983</v>
      </c>
      <c r="BI53" s="32">
        <v>0.99630450849963048</v>
      </c>
      <c r="BJ53" s="32">
        <v>0.99428097648807423</v>
      </c>
      <c r="BK53" s="32">
        <v>0.97193500738552441</v>
      </c>
      <c r="BL53" s="32">
        <v>0.98298816568047342</v>
      </c>
      <c r="BM53" s="32">
        <v>0.98816568047337283</v>
      </c>
      <c r="BN53" s="32">
        <v>0.99704142011834318</v>
      </c>
      <c r="BO53" s="32">
        <v>0.97253155159613958</v>
      </c>
      <c r="BP53" s="32">
        <v>0.96364985163204753</v>
      </c>
      <c r="BQ53" s="32">
        <v>0.9427934621099554</v>
      </c>
      <c r="BR53" s="32">
        <v>0.97415787699940815</v>
      </c>
      <c r="BS53" s="32">
        <v>0.99557522123893805</v>
      </c>
      <c r="BT53" s="32">
        <v>0.99037037037037035</v>
      </c>
      <c r="BU53" s="32">
        <v>0.99399849962490627</v>
      </c>
      <c r="BV53" s="32">
        <v>0.99556541019955658</v>
      </c>
      <c r="BW53" s="32">
        <v>0.99043414275202357</v>
      </c>
      <c r="BX53" s="32">
        <v>0.98950524737631185</v>
      </c>
      <c r="BY53" s="32">
        <v>0.99549211119459058</v>
      </c>
      <c r="BZ53" s="32">
        <v>0.99299157182238518</v>
      </c>
      <c r="CA53" s="32">
        <v>0.99187592319054652</v>
      </c>
      <c r="CB53" s="32">
        <v>0.99775112443778113</v>
      </c>
      <c r="CC53" s="32">
        <v>0.99851632047477745</v>
      </c>
      <c r="CD53" s="32">
        <v>0.99924585218702866</v>
      </c>
      <c r="CE53" s="32">
        <v>0.99925149700598803</v>
      </c>
      <c r="CF53" s="32">
        <v>0.99850634802091109</v>
      </c>
      <c r="CG53" s="32">
        <v>1</v>
      </c>
      <c r="CH53" s="32">
        <v>0.99787815218814757</v>
      </c>
      <c r="CI53" s="32">
        <v>0.99186991869918695</v>
      </c>
      <c r="CJ53" s="32">
        <v>1</v>
      </c>
      <c r="CK53" s="32">
        <v>0.99334811529933487</v>
      </c>
      <c r="CL53" s="32">
        <v>0.99778434268833083</v>
      </c>
      <c r="CM53" s="32">
        <v>0.99704360679970438</v>
      </c>
      <c r="CN53" s="32">
        <v>0.9992412746585736</v>
      </c>
      <c r="CO53" s="32">
        <v>0.99169811320754719</v>
      </c>
      <c r="CP53" s="32">
        <v>0.99585505305038247</v>
      </c>
      <c r="CQ53" s="32">
        <v>0.98291233283803858</v>
      </c>
      <c r="CR53" s="32">
        <v>1</v>
      </c>
      <c r="CS53" s="32">
        <v>0.98587360594795537</v>
      </c>
      <c r="CT53" s="32">
        <v>0.99703484062268344</v>
      </c>
      <c r="CU53" s="32">
        <v>0.99557195571955714</v>
      </c>
      <c r="CV53" s="32">
        <v>0.99556541019955658</v>
      </c>
      <c r="CW53" s="32">
        <v>0.99260901699926085</v>
      </c>
      <c r="CX53" s="32">
        <v>0.99279530890386458</v>
      </c>
      <c r="CY53" s="32">
        <v>0.98966026587887745</v>
      </c>
      <c r="CZ53" s="32">
        <v>0.99704142011834318</v>
      </c>
      <c r="DA53" s="32">
        <v>0.99188790560471973</v>
      </c>
      <c r="DB53" s="32">
        <v>0.99482248520710059</v>
      </c>
      <c r="DC53" s="32">
        <v>0.99778597785977863</v>
      </c>
      <c r="DD53" s="32">
        <v>0.99629080118694358</v>
      </c>
      <c r="DE53" s="32">
        <v>0.99777448071216612</v>
      </c>
      <c r="DF53" s="32">
        <v>0.99503761950970415</v>
      </c>
      <c r="DG53" s="32">
        <v>0.9859154929577465</v>
      </c>
      <c r="DH53" s="32">
        <v>0.99035608308605338</v>
      </c>
      <c r="DI53" s="32">
        <v>0.98797896318557477</v>
      </c>
      <c r="DJ53" s="32">
        <v>0.99774774774774777</v>
      </c>
      <c r="DK53" s="32">
        <v>0.99334319526627224</v>
      </c>
      <c r="DL53" s="32">
        <v>0.98884758364312264</v>
      </c>
      <c r="DM53" s="32">
        <v>0.99259807549962986</v>
      </c>
      <c r="DN53" s="32">
        <v>0.99096959162659248</v>
      </c>
      <c r="DO53" s="32">
        <v>0.98078344419807839</v>
      </c>
      <c r="DP53" s="32">
        <v>0.99851301115241631</v>
      </c>
      <c r="DQ53" s="32">
        <v>0.97769516728624539</v>
      </c>
      <c r="DR53" s="32">
        <v>0.984375</v>
      </c>
      <c r="DS53" s="32">
        <v>0.99113082039911304</v>
      </c>
      <c r="DT53" s="32">
        <v>0.99628252788104088</v>
      </c>
      <c r="DU53" s="32">
        <v>0.99182156133828991</v>
      </c>
      <c r="DV53" s="32">
        <v>0.98865736175074048</v>
      </c>
      <c r="DW53" s="32">
        <v>0.97933579335793353</v>
      </c>
      <c r="DX53" s="32">
        <v>0.99186991869918695</v>
      </c>
      <c r="DY53" s="32">
        <v>0.98666666666666669</v>
      </c>
      <c r="DZ53" s="32">
        <v>0.99776619508562914</v>
      </c>
      <c r="EA53" s="32">
        <v>0.99630996309963105</v>
      </c>
      <c r="EB53" s="32">
        <v>0.99704360679970438</v>
      </c>
      <c r="EC53" s="32">
        <v>0.99557848194546794</v>
      </c>
      <c r="ED53" s="32">
        <v>0.99208151795060284</v>
      </c>
      <c r="EE53" s="32">
        <v>0.97265336289726534</v>
      </c>
      <c r="EF53" s="32">
        <v>0.99554565701559017</v>
      </c>
      <c r="EG53" s="32">
        <v>0.9830007390983001</v>
      </c>
      <c r="EH53" s="32">
        <v>0.98508575689783739</v>
      </c>
      <c r="EI53" s="32">
        <v>0.99189388356669128</v>
      </c>
      <c r="EJ53" s="32">
        <v>0.99554565701559017</v>
      </c>
      <c r="EK53" s="32">
        <v>0.99482631189948267</v>
      </c>
      <c r="EL53" s="32">
        <v>0.9883644811986797</v>
      </c>
    </row>
    <row r="54" spans="38:142" x14ac:dyDescent="0.25">
      <c r="AL54" s="19" t="s">
        <v>109</v>
      </c>
      <c r="AM54" s="32">
        <v>0.97905759162303663</v>
      </c>
      <c r="AN54" s="32">
        <v>0.98449612403100772</v>
      </c>
      <c r="AO54" s="32">
        <v>0.95287958115183247</v>
      </c>
      <c r="AP54" s="32">
        <v>0.99214659685863871</v>
      </c>
      <c r="AQ54" s="32">
        <v>0.96021220159151188</v>
      </c>
      <c r="AR54" s="32">
        <v>0.98445595854922274</v>
      </c>
      <c r="AS54" s="32">
        <v>0.96031746031746035</v>
      </c>
      <c r="AT54" s="32">
        <v>0.97336650201753017</v>
      </c>
      <c r="AU54" s="32">
        <v>0.94794520547945205</v>
      </c>
      <c r="AV54" s="32">
        <v>0.99738219895287961</v>
      </c>
      <c r="AW54" s="32">
        <v>0.96569920844327173</v>
      </c>
      <c r="AX54" s="32">
        <v>0.98186528497409331</v>
      </c>
      <c r="AY54" s="32">
        <v>0.95490716180371349</v>
      </c>
      <c r="AZ54" s="32">
        <v>0.97637795275590555</v>
      </c>
      <c r="BA54" s="32">
        <v>0.99206349206349209</v>
      </c>
      <c r="BB54" s="32">
        <v>0.97374864349611534</v>
      </c>
      <c r="BC54" s="32">
        <v>0.97382198952879584</v>
      </c>
      <c r="BD54" s="32">
        <v>0.99739583333333337</v>
      </c>
      <c r="BE54" s="32">
        <v>0.96858638743455494</v>
      </c>
      <c r="BF54" s="32">
        <v>0.98195876288659789</v>
      </c>
      <c r="BG54" s="32">
        <v>0.9765625</v>
      </c>
      <c r="BH54" s="32">
        <v>1</v>
      </c>
      <c r="BI54" s="32">
        <v>0.9765625</v>
      </c>
      <c r="BJ54" s="32">
        <v>0.98212685331189753</v>
      </c>
      <c r="BK54" s="32">
        <v>0.96569920844327173</v>
      </c>
      <c r="BL54" s="32">
        <v>0.98958333333333337</v>
      </c>
      <c r="BM54" s="32">
        <v>0.97105263157894739</v>
      </c>
      <c r="BN54" s="32">
        <v>0.99009900990099009</v>
      </c>
      <c r="BO54" s="32">
        <v>0.95526315789473681</v>
      </c>
      <c r="BP54" s="32">
        <v>0.8586387434554974</v>
      </c>
      <c r="BQ54" s="32">
        <v>0.884514435695538</v>
      </c>
      <c r="BR54" s="32">
        <v>0.94497864575747348</v>
      </c>
      <c r="BS54" s="32">
        <v>0.9948320413436692</v>
      </c>
      <c r="BT54" s="32">
        <v>0.95856353591160226</v>
      </c>
      <c r="BU54" s="32">
        <v>0.98974358974358978</v>
      </c>
      <c r="BV54" s="32">
        <v>0.98730964467005078</v>
      </c>
      <c r="BW54" s="32">
        <v>1</v>
      </c>
      <c r="BX54" s="32">
        <v>0.94736842105263153</v>
      </c>
      <c r="BY54" s="32">
        <v>0.96875</v>
      </c>
      <c r="BZ54" s="32">
        <v>0.97808103324593476</v>
      </c>
      <c r="CA54" s="32">
        <v>0.98191214470284238</v>
      </c>
      <c r="CB54" s="32">
        <v>0.99743589743589745</v>
      </c>
      <c r="CC54" s="32">
        <v>0.98966408268733852</v>
      </c>
      <c r="CD54" s="32">
        <v>0.98969072164948457</v>
      </c>
      <c r="CE54" s="32">
        <v>1</v>
      </c>
      <c r="CF54" s="32">
        <v>0.97674418604651159</v>
      </c>
      <c r="CG54" s="32">
        <v>0.99224806201550386</v>
      </c>
      <c r="CH54" s="32">
        <v>0.98967072779108256</v>
      </c>
      <c r="CI54" s="32">
        <v>0.96437659033078882</v>
      </c>
      <c r="CJ54" s="32">
        <v>0.97429305912596398</v>
      </c>
      <c r="CK54" s="32">
        <v>0.97229219143576828</v>
      </c>
      <c r="CL54" s="32">
        <v>1</v>
      </c>
      <c r="CM54" s="32">
        <v>1</v>
      </c>
      <c r="CN54" s="32">
        <v>0.96765498652291104</v>
      </c>
      <c r="CO54" s="32">
        <v>0.99477806788511747</v>
      </c>
      <c r="CP54" s="32">
        <v>0.98191355647150702</v>
      </c>
      <c r="CQ54" s="32">
        <v>0.94791666666666663</v>
      </c>
      <c r="CR54" s="32">
        <v>0.97448979591836737</v>
      </c>
      <c r="CS54" s="32">
        <v>0.97612732095490717</v>
      </c>
      <c r="CT54" s="32">
        <v>0.97922077922077921</v>
      </c>
      <c r="CU54" s="32">
        <v>0.97662337662337662</v>
      </c>
      <c r="CV54" s="32">
        <v>0.98907103825136611</v>
      </c>
      <c r="CW54" s="32">
        <v>0.98907103825136611</v>
      </c>
      <c r="CX54" s="32">
        <v>0.97607428798383278</v>
      </c>
      <c r="CY54" s="32">
        <v>1</v>
      </c>
      <c r="CZ54" s="32">
        <v>0.99214659685863871</v>
      </c>
      <c r="DA54" s="32">
        <v>0.99186991869918695</v>
      </c>
      <c r="DB54" s="32">
        <v>0.99722991689750695</v>
      </c>
      <c r="DC54" s="32">
        <v>0.99202127659574468</v>
      </c>
      <c r="DD54" s="32">
        <v>0.97587131367292224</v>
      </c>
      <c r="DE54" s="32">
        <v>0.98901098901098905</v>
      </c>
      <c r="DF54" s="32">
        <v>0.99116428739071272</v>
      </c>
      <c r="DG54" s="32">
        <v>0.99214659685863871</v>
      </c>
      <c r="DH54" s="32">
        <v>0.98162729658792647</v>
      </c>
      <c r="DI54" s="32">
        <v>0.97142857142857142</v>
      </c>
      <c r="DJ54" s="32">
        <v>0.9604221635883905</v>
      </c>
      <c r="DK54" s="32">
        <v>0.97883597883597884</v>
      </c>
      <c r="DL54" s="32">
        <v>0.99739583333333337</v>
      </c>
      <c r="DM54" s="32">
        <v>0.9807162534435262</v>
      </c>
      <c r="DN54" s="32">
        <v>0.98036752772519509</v>
      </c>
      <c r="DO54" s="32">
        <v>0.98461538461538467</v>
      </c>
      <c r="DP54" s="32">
        <v>0.99745547073791352</v>
      </c>
      <c r="DQ54" s="32">
        <v>0.97959183673469385</v>
      </c>
      <c r="DR54" s="32">
        <v>0.98927613941018766</v>
      </c>
      <c r="DS54" s="32">
        <v>0.97969543147208127</v>
      </c>
      <c r="DT54" s="32">
        <v>0.98918918918918919</v>
      </c>
      <c r="DU54" s="32">
        <v>0.99728997289972898</v>
      </c>
      <c r="DV54" s="32">
        <v>0.98815906072273996</v>
      </c>
      <c r="DW54" s="32">
        <v>0.95399515738498786</v>
      </c>
      <c r="DX54" s="32">
        <v>0.98412698412698407</v>
      </c>
      <c r="DY54" s="32">
        <v>0.95833333333333337</v>
      </c>
      <c r="DZ54" s="32">
        <v>0.96363636363636362</v>
      </c>
      <c r="EA54" s="32">
        <v>0.95865633074935397</v>
      </c>
      <c r="EB54" s="32">
        <v>0.99228791773778924</v>
      </c>
      <c r="EC54" s="32">
        <v>0.97680412371134018</v>
      </c>
      <c r="ED54" s="32">
        <v>0.96969145866859319</v>
      </c>
      <c r="EE54" s="32">
        <v>0.94680851063829785</v>
      </c>
      <c r="EF54" s="32">
        <v>0.96542553191489366</v>
      </c>
      <c r="EG54" s="32">
        <v>0.9521276595744681</v>
      </c>
      <c r="EH54" s="32">
        <v>0.97120418848167545</v>
      </c>
      <c r="EI54" s="32">
        <v>0.96858638743455494</v>
      </c>
      <c r="EJ54" s="32">
        <v>0.98404255319148937</v>
      </c>
      <c r="EK54" s="32">
        <v>0.95287958115183247</v>
      </c>
      <c r="EL54" s="32">
        <v>0.96301063034103029</v>
      </c>
    </row>
    <row r="55" spans="38:142" x14ac:dyDescent="0.25">
      <c r="AL55" s="19" t="s">
        <v>110</v>
      </c>
      <c r="AM55" s="32">
        <v>0.98044009779951102</v>
      </c>
      <c r="AN55" s="32">
        <v>1</v>
      </c>
      <c r="AO55" s="32">
        <v>0.97069597069597069</v>
      </c>
      <c r="AP55" s="32">
        <v>1</v>
      </c>
      <c r="AQ55" s="32">
        <v>0.99631449631449631</v>
      </c>
      <c r="AR55" s="32">
        <v>1</v>
      </c>
      <c r="AS55" s="32">
        <v>0.98901098901098905</v>
      </c>
      <c r="AT55" s="32">
        <v>0.99092307911728106</v>
      </c>
      <c r="AU55" s="32">
        <v>1</v>
      </c>
      <c r="AV55" s="32">
        <v>1</v>
      </c>
      <c r="AW55" s="32">
        <v>0.98168498168498164</v>
      </c>
      <c r="AX55" s="32">
        <v>1</v>
      </c>
      <c r="AY55" s="32">
        <v>1</v>
      </c>
      <c r="AZ55" s="32">
        <v>1</v>
      </c>
      <c r="BA55" s="32">
        <v>1</v>
      </c>
      <c r="BB55" s="32">
        <v>0.9973835688121403</v>
      </c>
      <c r="BC55" s="32">
        <v>0.98525798525798525</v>
      </c>
      <c r="BD55" s="32">
        <v>1</v>
      </c>
      <c r="BE55" s="32">
        <v>1</v>
      </c>
      <c r="BF55" s="32">
        <v>1</v>
      </c>
      <c r="BG55" s="32">
        <v>1</v>
      </c>
      <c r="BH55" s="32">
        <v>1</v>
      </c>
      <c r="BI55" s="32">
        <v>1</v>
      </c>
      <c r="BJ55" s="32">
        <v>0.99789399789399791</v>
      </c>
      <c r="BK55" s="32">
        <v>0.99753390875462389</v>
      </c>
      <c r="BL55" s="32">
        <v>0.98890258939580766</v>
      </c>
      <c r="BM55" s="32">
        <v>1</v>
      </c>
      <c r="BN55" s="32">
        <v>0.99877899877899878</v>
      </c>
      <c r="BO55" s="32">
        <v>0.99752781211372066</v>
      </c>
      <c r="BP55" s="32">
        <v>0.97503121098626722</v>
      </c>
      <c r="BQ55" s="32">
        <v>0.99750312109862671</v>
      </c>
      <c r="BR55" s="32">
        <v>0.99361109158972061</v>
      </c>
      <c r="BS55" s="32">
        <v>1</v>
      </c>
      <c r="BT55" s="32">
        <v>1</v>
      </c>
      <c r="BU55" s="32">
        <v>0.98027127003699133</v>
      </c>
      <c r="BV55" s="32">
        <v>1</v>
      </c>
      <c r="BW55" s="32">
        <v>0.99512195121951219</v>
      </c>
      <c r="BX55" s="32">
        <v>0.99755501222493892</v>
      </c>
      <c r="BY55" s="32">
        <v>1</v>
      </c>
      <c r="BZ55" s="32">
        <v>0.9961354619259204</v>
      </c>
      <c r="CA55" s="32">
        <v>0.98041615667074666</v>
      </c>
      <c r="CB55" s="32">
        <v>1</v>
      </c>
      <c r="CC55" s="32">
        <v>1</v>
      </c>
      <c r="CD55" s="32">
        <v>1</v>
      </c>
      <c r="CE55" s="32">
        <v>0.99880239520958081</v>
      </c>
      <c r="CF55" s="32">
        <v>1</v>
      </c>
      <c r="CG55" s="32">
        <v>1</v>
      </c>
      <c r="CH55" s="32">
        <v>0.99703122169718961</v>
      </c>
      <c r="CI55" s="32">
        <v>1</v>
      </c>
      <c r="CJ55" s="32">
        <v>1</v>
      </c>
      <c r="CK55" s="32">
        <v>0.97677261613691935</v>
      </c>
      <c r="CL55" s="32">
        <v>0.99754601226993866</v>
      </c>
      <c r="CM55" s="32">
        <v>1</v>
      </c>
      <c r="CN55" s="32">
        <v>0.997563946406821</v>
      </c>
      <c r="CO55" s="32">
        <v>0.99632802937576503</v>
      </c>
      <c r="CP55" s="32">
        <v>0.99545865774134923</v>
      </c>
      <c r="CQ55" s="32">
        <v>1</v>
      </c>
      <c r="CR55" s="32">
        <v>0.99756986634264888</v>
      </c>
      <c r="CS55" s="32">
        <v>0.99877450980392157</v>
      </c>
      <c r="CT55" s="32">
        <v>1</v>
      </c>
      <c r="CU55" s="32">
        <v>1</v>
      </c>
      <c r="CV55" s="32">
        <v>0.9975609756097561</v>
      </c>
      <c r="CW55" s="32">
        <v>0.99266503667481665</v>
      </c>
      <c r="CX55" s="32">
        <v>0.99808148406159181</v>
      </c>
      <c r="CY55" s="32">
        <v>0.97323600973236013</v>
      </c>
      <c r="CZ55" s="32">
        <v>1</v>
      </c>
      <c r="DA55" s="32">
        <v>1</v>
      </c>
      <c r="DB55" s="32">
        <v>1</v>
      </c>
      <c r="DC55" s="32">
        <v>1</v>
      </c>
      <c r="DD55" s="32">
        <v>0.99635922330097082</v>
      </c>
      <c r="DE55" s="32">
        <v>1</v>
      </c>
      <c r="DF55" s="32">
        <v>0.99565646186190437</v>
      </c>
      <c r="DG55" s="32">
        <v>0.99757281553398058</v>
      </c>
      <c r="DH55" s="32">
        <v>0.99517490952955368</v>
      </c>
      <c r="DI55" s="32">
        <v>0.98294762484774667</v>
      </c>
      <c r="DJ55" s="32">
        <v>0.99878934624697335</v>
      </c>
      <c r="DK55" s="32">
        <v>0.99636363636363634</v>
      </c>
      <c r="DL55" s="32">
        <v>1</v>
      </c>
      <c r="DM55" s="32">
        <v>0.9975669099756691</v>
      </c>
      <c r="DN55" s="32">
        <v>0.99548789178536568</v>
      </c>
      <c r="DO55" s="32">
        <v>0.97777777777777775</v>
      </c>
      <c r="DP55" s="32">
        <v>0.99878048780487805</v>
      </c>
      <c r="DQ55" s="32">
        <v>0.96406443618339532</v>
      </c>
      <c r="DR55" s="32">
        <v>0.98168498168498164</v>
      </c>
      <c r="DS55" s="32">
        <v>1</v>
      </c>
      <c r="DT55" s="32">
        <v>0.9939172749391727</v>
      </c>
      <c r="DU55" s="32">
        <v>0.9853300733496333</v>
      </c>
      <c r="DV55" s="32">
        <v>0.98593643310569135</v>
      </c>
      <c r="DW55" s="32">
        <v>0.97280593325092712</v>
      </c>
      <c r="DX55" s="32">
        <v>1</v>
      </c>
      <c r="DY55" s="32">
        <v>0.98044009779951102</v>
      </c>
      <c r="DZ55" s="32">
        <v>1</v>
      </c>
      <c r="EA55" s="32">
        <v>0.99509202453987733</v>
      </c>
      <c r="EB55" s="32">
        <v>0.98663426488456862</v>
      </c>
      <c r="EC55" s="32">
        <v>0.99386503067484666</v>
      </c>
      <c r="ED55" s="32">
        <v>0.98983390730710441</v>
      </c>
      <c r="EE55" s="32">
        <v>0.97524752475247523</v>
      </c>
      <c r="EF55" s="32">
        <v>0.99270959902794653</v>
      </c>
      <c r="EG55" s="32">
        <v>0.95662949194547708</v>
      </c>
      <c r="EH55" s="32">
        <v>0.99141104294478533</v>
      </c>
      <c r="EI55" s="32">
        <v>0.98653610771113831</v>
      </c>
      <c r="EJ55" s="32">
        <v>0.99877600979192172</v>
      </c>
      <c r="EK55" s="32">
        <v>0.99632802937576503</v>
      </c>
      <c r="EL55" s="32">
        <v>0.98537682936421567</v>
      </c>
    </row>
    <row r="56" spans="38:142" x14ac:dyDescent="0.25">
      <c r="AL56" s="19" t="s">
        <v>111</v>
      </c>
      <c r="AM56" s="32">
        <v>0.96414342629482075</v>
      </c>
      <c r="AN56" s="32">
        <v>0.97760358342665177</v>
      </c>
      <c r="AO56" s="32">
        <v>0.96506808762581409</v>
      </c>
      <c r="AP56" s="32">
        <v>0.98697454114860861</v>
      </c>
      <c r="AQ56" s="32">
        <v>0.9780652418447694</v>
      </c>
      <c r="AR56" s="32">
        <v>0.9769144144144144</v>
      </c>
      <c r="AS56" s="32">
        <v>0.99039548022598867</v>
      </c>
      <c r="AT56" s="32">
        <v>0.97702353928300967</v>
      </c>
      <c r="AU56" s="32">
        <v>0.99589923842999417</v>
      </c>
      <c r="AV56" s="32">
        <v>0.99153498871331824</v>
      </c>
      <c r="AW56" s="32">
        <v>0.98617788461538458</v>
      </c>
      <c r="AX56" s="32">
        <v>0.97631734754292476</v>
      </c>
      <c r="AY56" s="32">
        <v>0.97749015194147437</v>
      </c>
      <c r="AZ56" s="32">
        <v>0.99659671015314799</v>
      </c>
      <c r="BA56" s="32">
        <v>0.98982475975127193</v>
      </c>
      <c r="BB56" s="32">
        <v>0.98769158302107385</v>
      </c>
      <c r="BC56" s="32">
        <v>0.93689596361569072</v>
      </c>
      <c r="BD56" s="32">
        <v>0.99600228440890914</v>
      </c>
      <c r="BE56" s="32">
        <v>0.93738924985233318</v>
      </c>
      <c r="BF56" s="32">
        <v>0.95747194329592444</v>
      </c>
      <c r="BG56" s="32">
        <v>0.97009029345372455</v>
      </c>
      <c r="BH56" s="32">
        <v>0.99661399548532736</v>
      </c>
      <c r="BI56" s="32">
        <v>0.98531073446327688</v>
      </c>
      <c r="BJ56" s="32">
        <v>0.96853920922502668</v>
      </c>
      <c r="BK56" s="32">
        <v>0.91324200913242004</v>
      </c>
      <c r="BL56" s="32">
        <v>0.9108461101646792</v>
      </c>
      <c r="BM56" s="32">
        <v>0.93620791494388655</v>
      </c>
      <c r="BN56" s="32">
        <v>0.95274660366213826</v>
      </c>
      <c r="BO56" s="32">
        <v>0.88245315161839866</v>
      </c>
      <c r="BP56" s="32">
        <v>0.81885292447473024</v>
      </c>
      <c r="BQ56" s="32">
        <v>0.82793867120954001</v>
      </c>
      <c r="BR56" s="32">
        <v>0.89175534074368468</v>
      </c>
      <c r="BS56" s="32">
        <v>0.98131370328425827</v>
      </c>
      <c r="BT56" s="32">
        <v>0.96587030716723554</v>
      </c>
      <c r="BU56" s="32">
        <v>0.97804154302670621</v>
      </c>
      <c r="BV56" s="32">
        <v>0.98579040852575484</v>
      </c>
      <c r="BW56" s="32">
        <v>0.99047619047619051</v>
      </c>
      <c r="BX56" s="32">
        <v>0.94889267461669502</v>
      </c>
      <c r="BY56" s="32">
        <v>0.96319365798414491</v>
      </c>
      <c r="BZ56" s="32">
        <v>0.97336835501156938</v>
      </c>
      <c r="CA56" s="32">
        <v>0.95895729339988911</v>
      </c>
      <c r="CB56" s="32">
        <v>0.99607843137254903</v>
      </c>
      <c r="CC56" s="32">
        <v>0.95797351755900984</v>
      </c>
      <c r="CD56" s="32">
        <v>0.9683362118595279</v>
      </c>
      <c r="CE56" s="32">
        <v>0.97630853994490363</v>
      </c>
      <c r="CF56" s="32">
        <v>0.99325463743676223</v>
      </c>
      <c r="CG56" s="32">
        <v>0.98722222222222222</v>
      </c>
      <c r="CH56" s="32">
        <v>0.97687583625640906</v>
      </c>
      <c r="CI56" s="32">
        <v>0.973536036036036</v>
      </c>
      <c r="CJ56" s="32">
        <v>0.97688497523390205</v>
      </c>
      <c r="CK56" s="32">
        <v>0.97437390797903323</v>
      </c>
      <c r="CL56" s="32">
        <v>0.98138452588714364</v>
      </c>
      <c r="CM56" s="32">
        <v>0.97839335180055398</v>
      </c>
      <c r="CN56" s="32">
        <v>0.97406181015452542</v>
      </c>
      <c r="CO56" s="32">
        <v>0.97684674751929434</v>
      </c>
      <c r="CP56" s="32">
        <v>0.97649733637292691</v>
      </c>
      <c r="CQ56" s="32">
        <v>0.97149372862029648</v>
      </c>
      <c r="CR56" s="32">
        <v>0.99275766016713096</v>
      </c>
      <c r="CS56" s="32">
        <v>0.97404129793510319</v>
      </c>
      <c r="CT56" s="32">
        <v>0.98299120234604109</v>
      </c>
      <c r="CU56" s="32">
        <v>0.9715401785714286</v>
      </c>
      <c r="CV56" s="32">
        <v>0.9788182831661093</v>
      </c>
      <c r="CW56" s="32">
        <v>0.96220122290161203</v>
      </c>
      <c r="CX56" s="32">
        <v>0.97626336767253163</v>
      </c>
      <c r="CY56" s="32">
        <v>0.96869664200341488</v>
      </c>
      <c r="CZ56" s="32">
        <v>0.99610678531701891</v>
      </c>
      <c r="DA56" s="32">
        <v>0.96386255924170616</v>
      </c>
      <c r="DB56" s="32">
        <v>0.97340425531914898</v>
      </c>
      <c r="DC56" s="32">
        <v>0.9872151195108394</v>
      </c>
      <c r="DD56" s="32">
        <v>0.99160134378499443</v>
      </c>
      <c r="DE56" s="32">
        <v>0.9949636261891438</v>
      </c>
      <c r="DF56" s="32">
        <v>0.98226433305232363</v>
      </c>
      <c r="DG56" s="32">
        <v>0.95423340961098402</v>
      </c>
      <c r="DH56" s="32">
        <v>0.984650369528141</v>
      </c>
      <c r="DI56" s="32">
        <v>0.95014836795252222</v>
      </c>
      <c r="DJ56" s="32">
        <v>0.97866034380557199</v>
      </c>
      <c r="DK56" s="32">
        <v>0.98072562358276649</v>
      </c>
      <c r="DL56" s="32">
        <v>0.97680995475113119</v>
      </c>
      <c r="DM56" s="32">
        <v>0.97742663656884876</v>
      </c>
      <c r="DN56" s="32">
        <v>0.97180781511428083</v>
      </c>
      <c r="DO56" s="32">
        <v>0.97159090909090906</v>
      </c>
      <c r="DP56" s="32">
        <v>0.98072562358276649</v>
      </c>
      <c r="DQ56" s="32">
        <v>0.96924896510940273</v>
      </c>
      <c r="DR56" s="32">
        <v>0.97586815773984692</v>
      </c>
      <c r="DS56" s="32">
        <v>0.98492462311557794</v>
      </c>
      <c r="DT56" s="32">
        <v>0.98759864712514089</v>
      </c>
      <c r="DU56" s="32">
        <v>0.98598654708520184</v>
      </c>
      <c r="DV56" s="32">
        <v>0.9794204961212637</v>
      </c>
      <c r="DW56" s="32">
        <v>0.97346132128740825</v>
      </c>
      <c r="DX56" s="32">
        <v>0.98643301300169584</v>
      </c>
      <c r="DY56" s="32">
        <v>0.9662921348314607</v>
      </c>
      <c r="DZ56" s="32">
        <v>0.97346132128740825</v>
      </c>
      <c r="EA56" s="32">
        <v>0.98331479421579537</v>
      </c>
      <c r="EB56" s="32">
        <v>0.98824846110800224</v>
      </c>
      <c r="EC56" s="32">
        <v>0.97939866369710471</v>
      </c>
      <c r="ED56" s="32">
        <v>0.97865852991841085</v>
      </c>
      <c r="EE56" s="32">
        <v>0.96759522455940872</v>
      </c>
      <c r="EF56" s="32">
        <v>0.98931383577052867</v>
      </c>
      <c r="EG56" s="32">
        <v>0.96676557863501489</v>
      </c>
      <c r="EH56" s="32">
        <v>0.98875074008288932</v>
      </c>
      <c r="EI56" s="32">
        <v>0.98600223964165734</v>
      </c>
      <c r="EJ56" s="32">
        <v>0.98928369994359844</v>
      </c>
      <c r="EK56" s="32">
        <v>0.99211267605633802</v>
      </c>
      <c r="EL56" s="32">
        <v>0.98283199924134801</v>
      </c>
    </row>
    <row r="57" spans="38:142" x14ac:dyDescent="0.25">
      <c r="AL57" s="19" t="s">
        <v>112</v>
      </c>
      <c r="AM57" s="32">
        <v>0.97552836484983318</v>
      </c>
      <c r="AN57" s="32">
        <v>0.98006644518272423</v>
      </c>
      <c r="AO57" s="32">
        <v>0.9377085650723026</v>
      </c>
      <c r="AP57" s="32">
        <v>0.98963133640552992</v>
      </c>
      <c r="AQ57" s="32">
        <v>0.994413407821229</v>
      </c>
      <c r="AR57" s="32">
        <v>0.98316498316498313</v>
      </c>
      <c r="AS57" s="32">
        <v>0.98004434589800449</v>
      </c>
      <c r="AT57" s="32">
        <v>0.97722249262780103</v>
      </c>
      <c r="AU57" s="32">
        <v>0.97170837867247006</v>
      </c>
      <c r="AV57" s="32">
        <v>0.98965517241379308</v>
      </c>
      <c r="AW57" s="32">
        <v>0.96632996632996637</v>
      </c>
      <c r="AX57" s="32">
        <v>0.99337016574585635</v>
      </c>
      <c r="AY57" s="32">
        <v>0.96361631753031973</v>
      </c>
      <c r="AZ57" s="32">
        <v>0.98275862068965514</v>
      </c>
      <c r="BA57" s="32">
        <v>0.9738041002277904</v>
      </c>
      <c r="BB57" s="32">
        <v>0.97732038880140737</v>
      </c>
      <c r="BC57" s="32">
        <v>0.98089887640449436</v>
      </c>
      <c r="BD57" s="32">
        <v>0.9921875</v>
      </c>
      <c r="BE57" s="32">
        <v>0.98855835240274603</v>
      </c>
      <c r="BF57" s="32">
        <v>0.98609625668449197</v>
      </c>
      <c r="BG57" s="32">
        <v>0.98509174311926606</v>
      </c>
      <c r="BH57" s="32">
        <v>0.98880179171332583</v>
      </c>
      <c r="BI57" s="32">
        <v>0.984375</v>
      </c>
      <c r="BJ57" s="32">
        <v>0.98657278861776054</v>
      </c>
      <c r="BK57" s="32">
        <v>0.94983277591973247</v>
      </c>
      <c r="BL57" s="32">
        <v>0.98728813559322037</v>
      </c>
      <c r="BM57" s="32">
        <v>0.98770949720670387</v>
      </c>
      <c r="BN57" s="32">
        <v>0.99246501614639393</v>
      </c>
      <c r="BO57" s="32">
        <v>0.9517937219730942</v>
      </c>
      <c r="BP57" s="32">
        <v>0.94571118349619976</v>
      </c>
      <c r="BQ57" s="32">
        <v>0.94821634062140392</v>
      </c>
      <c r="BR57" s="32">
        <v>0.96614523870810687</v>
      </c>
      <c r="BS57" s="32">
        <v>0.994413407821229</v>
      </c>
      <c r="BT57" s="32">
        <v>0.98699891657638139</v>
      </c>
      <c r="BU57" s="32">
        <v>0.99240780911062909</v>
      </c>
      <c r="BV57" s="32">
        <v>0.99354838709677418</v>
      </c>
      <c r="BW57" s="32">
        <v>0.98672566371681414</v>
      </c>
      <c r="BX57" s="32">
        <v>0.98117386489479508</v>
      </c>
      <c r="BY57" s="32">
        <v>0.98821007502679525</v>
      </c>
      <c r="BZ57" s="32">
        <v>0.9890683034633454</v>
      </c>
      <c r="CA57" s="32">
        <v>0.97216274089935761</v>
      </c>
      <c r="CB57" s="32">
        <v>0.99464668094218411</v>
      </c>
      <c r="CC57" s="32">
        <v>0.98085106382978726</v>
      </c>
      <c r="CD57" s="32">
        <v>0.99470899470899465</v>
      </c>
      <c r="CE57" s="32">
        <v>0.98072805139186292</v>
      </c>
      <c r="CF57" s="32">
        <v>0.98734177215189878</v>
      </c>
      <c r="CG57" s="32">
        <v>0.9821052631578947</v>
      </c>
      <c r="CH57" s="32">
        <v>0.98464922386885423</v>
      </c>
      <c r="CI57" s="32">
        <v>0.95760869565217388</v>
      </c>
      <c r="CJ57" s="32">
        <v>0.99470899470899465</v>
      </c>
      <c r="CK57" s="32">
        <v>0.97658862876254182</v>
      </c>
      <c r="CL57" s="32">
        <v>0.98588490770901194</v>
      </c>
      <c r="CM57" s="32">
        <v>0.96767241379310343</v>
      </c>
      <c r="CN57" s="32">
        <v>0.98727465535524916</v>
      </c>
      <c r="CO57" s="32">
        <v>0.97553191489361701</v>
      </c>
      <c r="CP57" s="32">
        <v>0.97789574441067029</v>
      </c>
      <c r="CQ57" s="32">
        <v>0.9721603563474388</v>
      </c>
      <c r="CR57" s="32">
        <v>0.98699891657638139</v>
      </c>
      <c r="CS57" s="32">
        <v>0.96620908130939809</v>
      </c>
      <c r="CT57" s="32">
        <v>0.9860365198711063</v>
      </c>
      <c r="CU57" s="32">
        <v>0.97362637362637361</v>
      </c>
      <c r="CV57" s="32">
        <v>0.97552836484983318</v>
      </c>
      <c r="CW57" s="32">
        <v>0.98113207547169812</v>
      </c>
      <c r="CX57" s="32">
        <v>0.97738452686460431</v>
      </c>
      <c r="CY57" s="32">
        <v>0.9428891377379619</v>
      </c>
      <c r="CZ57" s="32">
        <v>0.98496240601503759</v>
      </c>
      <c r="DA57" s="32">
        <v>0.90336590662323557</v>
      </c>
      <c r="DB57" s="32">
        <v>0.94351464435146448</v>
      </c>
      <c r="DC57" s="32">
        <v>0.93769470404984423</v>
      </c>
      <c r="DD57" s="32">
        <v>0.98290598290598286</v>
      </c>
      <c r="DE57" s="32">
        <v>0.97629796839729122</v>
      </c>
      <c r="DF57" s="32">
        <v>0.95309010715440245</v>
      </c>
      <c r="DG57" s="32">
        <v>0.94481236203090513</v>
      </c>
      <c r="DH57" s="32">
        <v>0.95735607675906187</v>
      </c>
      <c r="DI57" s="32">
        <v>0.93043478260869561</v>
      </c>
      <c r="DJ57" s="32">
        <v>0.95159515951595164</v>
      </c>
      <c r="DK57" s="32">
        <v>0.92508143322475567</v>
      </c>
      <c r="DL57" s="32">
        <v>0.94909862142099677</v>
      </c>
      <c r="DM57" s="32">
        <v>0.96153846153846156</v>
      </c>
      <c r="DN57" s="32">
        <v>0.9457024138712613</v>
      </c>
      <c r="DO57" s="32">
        <v>0.9550056242969629</v>
      </c>
      <c r="DP57" s="32">
        <v>0.97787610619469023</v>
      </c>
      <c r="DQ57" s="32">
        <v>0.92783505154639179</v>
      </c>
      <c r="DR57" s="32">
        <v>0.96639629200463495</v>
      </c>
      <c r="DS57" s="32">
        <v>0.96868008948545858</v>
      </c>
      <c r="DT57" s="32">
        <v>0.96710526315789469</v>
      </c>
      <c r="DU57" s="32">
        <v>0.97555555555555551</v>
      </c>
      <c r="DV57" s="32">
        <v>0.96263628317736971</v>
      </c>
      <c r="DW57" s="32">
        <v>0.93552036199095023</v>
      </c>
      <c r="DX57" s="32">
        <v>0.84294871794871795</v>
      </c>
      <c r="DY57" s="32">
        <v>0.94719471947194722</v>
      </c>
      <c r="DZ57" s="32">
        <v>0.8504273504273504</v>
      </c>
      <c r="EA57" s="32">
        <v>0.96969696969696972</v>
      </c>
      <c r="EB57" s="32">
        <v>0.96604600219058046</v>
      </c>
      <c r="EC57" s="32">
        <v>0.97194163860830529</v>
      </c>
      <c r="ED57" s="32">
        <v>0.9262536800478316</v>
      </c>
      <c r="EE57" s="32">
        <v>0.95543478260869563</v>
      </c>
      <c r="EF57" s="32">
        <v>0.9604700854700855</v>
      </c>
      <c r="EG57" s="32">
        <v>0.95317725752508364</v>
      </c>
      <c r="EH57" s="32">
        <v>0.86630434782608701</v>
      </c>
      <c r="EI57" s="32">
        <v>0.95865070729053314</v>
      </c>
      <c r="EJ57" s="32">
        <v>0.96280087527352298</v>
      </c>
      <c r="EK57" s="32">
        <v>0.9723145071982281</v>
      </c>
      <c r="EL57" s="32">
        <v>0.94702179474174797</v>
      </c>
    </row>
    <row r="58" spans="38:142" x14ac:dyDescent="0.25">
      <c r="AL58" s="19" t="s">
        <v>290</v>
      </c>
      <c r="AM58" s="32">
        <v>0.93296770262035345</v>
      </c>
      <c r="AN58" s="32">
        <v>0.93906154783668494</v>
      </c>
      <c r="AO58" s="32">
        <v>0.91163924436319321</v>
      </c>
      <c r="AP58" s="32">
        <v>0.93662400975015236</v>
      </c>
      <c r="AQ58" s="32">
        <v>0.94332723948811703</v>
      </c>
      <c r="AR58" s="32">
        <v>0.93662400975015236</v>
      </c>
      <c r="AS58" s="32">
        <v>0.93235831809872027</v>
      </c>
      <c r="AT58" s="32">
        <v>0.93322886741533906</v>
      </c>
      <c r="AU58" s="32">
        <v>0.93989071038251371</v>
      </c>
      <c r="AV58" s="32">
        <v>0.92626447288238878</v>
      </c>
      <c r="AW58" s="32">
        <v>0.93685488767455982</v>
      </c>
      <c r="AX58" s="32">
        <v>0.94231936854887677</v>
      </c>
      <c r="AY58" s="32">
        <v>0.95736906211936668</v>
      </c>
      <c r="AZ58" s="32">
        <v>0.94149908592321752</v>
      </c>
      <c r="BA58" s="32">
        <v>0.94990836896762365</v>
      </c>
      <c r="BB58" s="32">
        <v>0.94201513664264969</v>
      </c>
      <c r="BC58" s="32">
        <v>0.9176904176904177</v>
      </c>
      <c r="BD58" s="32">
        <v>0.95749848208864607</v>
      </c>
      <c r="BE58" s="32">
        <v>0.90970515970515975</v>
      </c>
      <c r="BF58" s="32">
        <v>0.898034398034398</v>
      </c>
      <c r="BG58" s="32">
        <v>0.93922651933701662</v>
      </c>
      <c r="BH58" s="32">
        <v>0.96402439024390241</v>
      </c>
      <c r="BI58" s="32">
        <v>0.4957420924574209</v>
      </c>
      <c r="BJ58" s="32">
        <v>0.86884592279385164</v>
      </c>
      <c r="BK58" s="32">
        <v>0.83548983364140483</v>
      </c>
      <c r="BL58" s="32">
        <v>0.89312039312039315</v>
      </c>
      <c r="BM58" s="32">
        <v>0.87923598274799752</v>
      </c>
      <c r="BN58" s="32">
        <v>0.88293284041897724</v>
      </c>
      <c r="BO58" s="32">
        <v>0.79235982747997535</v>
      </c>
      <c r="BP58" s="32">
        <v>0.72738853503184708</v>
      </c>
      <c r="BQ58" s="32">
        <v>0.78126925446703632</v>
      </c>
      <c r="BR58" s="32">
        <v>0.82739952384394744</v>
      </c>
      <c r="BS58" s="32">
        <v>0.9395235186316433</v>
      </c>
      <c r="BT58" s="32">
        <v>0.8995067817509248</v>
      </c>
      <c r="BU58" s="32">
        <v>0.9395235186316433</v>
      </c>
      <c r="BV58" s="32">
        <v>0.96029321930360412</v>
      </c>
      <c r="BW58" s="32">
        <v>0.93952618453865333</v>
      </c>
      <c r="BX58" s="32">
        <v>0.91312384473197783</v>
      </c>
      <c r="BY58" s="32">
        <v>0.90547263681592038</v>
      </c>
      <c r="BZ58" s="32">
        <v>0.92813852920062379</v>
      </c>
      <c r="CA58" s="32">
        <v>0.96062992125984248</v>
      </c>
      <c r="CB58" s="32">
        <v>0.97442143727162001</v>
      </c>
      <c r="CC58" s="32">
        <v>0.95154451847365229</v>
      </c>
      <c r="CD58" s="32">
        <v>0.95800365185636027</v>
      </c>
      <c r="CE58" s="32">
        <v>0.97949336550060317</v>
      </c>
      <c r="CF58" s="32">
        <v>0.98123486682808714</v>
      </c>
      <c r="CG58" s="32">
        <v>0.9709443099273608</v>
      </c>
      <c r="CH58" s="32">
        <v>0.96803886730250377</v>
      </c>
      <c r="CI58" s="32">
        <v>0.95670475045099224</v>
      </c>
      <c r="CJ58" s="32">
        <v>0.97035692679975805</v>
      </c>
      <c r="CK58" s="32">
        <v>0.93501805054151621</v>
      </c>
      <c r="CL58" s="32">
        <v>0.94032549728752257</v>
      </c>
      <c r="CM58" s="32">
        <v>0.97596153846153844</v>
      </c>
      <c r="CN58" s="32">
        <v>0.98621103117505993</v>
      </c>
      <c r="CO58" s="32">
        <v>0.9729078868151716</v>
      </c>
      <c r="CP58" s="32">
        <v>0.96249795450450837</v>
      </c>
      <c r="CQ58" s="32">
        <v>0.94414414414414416</v>
      </c>
      <c r="CR58" s="32">
        <v>0.94993968636911941</v>
      </c>
      <c r="CS58" s="32">
        <v>0.92474413004214329</v>
      </c>
      <c r="CT58" s="32">
        <v>0.92715231788079466</v>
      </c>
      <c r="CU58" s="32">
        <v>0.96028880866425992</v>
      </c>
      <c r="CV58" s="32">
        <v>0.94724220623501199</v>
      </c>
      <c r="CW58" s="32">
        <v>0.96445783132530116</v>
      </c>
      <c r="CX58" s="32">
        <v>0.94542416066582491</v>
      </c>
      <c r="CY58" s="32">
        <v>0.95966285370258875</v>
      </c>
      <c r="CZ58" s="32">
        <v>0.9524096385542169</v>
      </c>
      <c r="DA58" s="32">
        <v>0.95123419626730887</v>
      </c>
      <c r="DB58" s="32">
        <v>0.95484647802528599</v>
      </c>
      <c r="DC58" s="32">
        <v>0.96267308850090305</v>
      </c>
      <c r="DD58" s="32">
        <v>0.96634615384615385</v>
      </c>
      <c r="DE58" s="32">
        <v>0.9609375</v>
      </c>
      <c r="DF58" s="32">
        <v>0.95830141555663684</v>
      </c>
      <c r="DG58" s="32">
        <v>0.93919325707405177</v>
      </c>
      <c r="DH58" s="32">
        <v>0.90909090909090906</v>
      </c>
      <c r="DI58" s="32">
        <v>0.93063932448733411</v>
      </c>
      <c r="DJ58" s="32">
        <v>0.94028950542822676</v>
      </c>
      <c r="DK58" s="32">
        <v>0.96146899458157731</v>
      </c>
      <c r="DL58" s="32">
        <v>0.97597597597597596</v>
      </c>
      <c r="DM58" s="32">
        <v>0.968129885748647</v>
      </c>
      <c r="DN58" s="32">
        <v>0.94639826462667465</v>
      </c>
      <c r="DO58" s="32">
        <v>0.94628847314423659</v>
      </c>
      <c r="DP58" s="32">
        <v>0.94500896592946804</v>
      </c>
      <c r="DQ58" s="32">
        <v>0.94142512077294682</v>
      </c>
      <c r="DR58" s="32">
        <v>0.92874396135265702</v>
      </c>
      <c r="DS58" s="32">
        <v>0.95410628019323673</v>
      </c>
      <c r="DT58" s="32">
        <v>0.95189416716776909</v>
      </c>
      <c r="DU58" s="32">
        <v>0.95733173076923073</v>
      </c>
      <c r="DV58" s="32">
        <v>0.94639981418993491</v>
      </c>
      <c r="DW58" s="32">
        <v>0.9371980676328503</v>
      </c>
      <c r="DX58" s="32">
        <v>0.93561973525872444</v>
      </c>
      <c r="DY58" s="32">
        <v>0.92632850241545894</v>
      </c>
      <c r="DZ58" s="32">
        <v>0.93176328502415462</v>
      </c>
      <c r="EA58" s="32">
        <v>0.95048309178743962</v>
      </c>
      <c r="EB58" s="32">
        <v>0.95652173913043481</v>
      </c>
      <c r="EC58" s="32">
        <v>0.94591346153846156</v>
      </c>
      <c r="ED58" s="32">
        <v>0.9405468403982179</v>
      </c>
      <c r="EE58" s="32">
        <v>0.93095093882495461</v>
      </c>
      <c r="EF58" s="32">
        <v>0.95457298606904906</v>
      </c>
      <c r="EG58" s="32">
        <v>0.91944276196244701</v>
      </c>
      <c r="EH58" s="32">
        <v>0.93943064809206545</v>
      </c>
      <c r="EI58" s="32">
        <v>0.95457298606904906</v>
      </c>
      <c r="EJ58" s="32">
        <v>0.95517867958812841</v>
      </c>
      <c r="EK58" s="32">
        <v>0.95457298606904906</v>
      </c>
      <c r="EL58" s="32">
        <v>0.94410314095353454</v>
      </c>
    </row>
    <row r="59" spans="38:142" x14ac:dyDescent="0.25">
      <c r="AL59" s="19" t="s">
        <v>235</v>
      </c>
      <c r="AM59" s="32">
        <v>1</v>
      </c>
      <c r="AN59" s="32">
        <v>1</v>
      </c>
      <c r="AO59" s="32">
        <v>1</v>
      </c>
      <c r="AP59" s="32">
        <v>1</v>
      </c>
      <c r="AQ59" s="32">
        <v>1</v>
      </c>
      <c r="AR59" s="32">
        <v>1</v>
      </c>
      <c r="AS59" s="32">
        <v>0.99725274725274726</v>
      </c>
      <c r="AT59" s="32">
        <v>0.99960753532182101</v>
      </c>
      <c r="AU59" s="32">
        <v>0.9789377289377289</v>
      </c>
      <c r="AV59" s="32">
        <v>0.99633699633699635</v>
      </c>
      <c r="AW59" s="32">
        <v>0.98168498168498164</v>
      </c>
      <c r="AX59" s="32">
        <v>0.98168498168498164</v>
      </c>
      <c r="AY59" s="32">
        <v>1</v>
      </c>
      <c r="AZ59" s="32">
        <v>0.99358974358974361</v>
      </c>
      <c r="BA59" s="32">
        <v>0.99908424908424909</v>
      </c>
      <c r="BB59" s="32">
        <v>0.99018838304552592</v>
      </c>
      <c r="BC59" s="32">
        <v>0.96978021978021978</v>
      </c>
      <c r="BD59" s="32">
        <v>0.96611721611721613</v>
      </c>
      <c r="BE59" s="32">
        <v>0.96978021978021978</v>
      </c>
      <c r="BF59" s="32">
        <v>0.97435897435897434</v>
      </c>
      <c r="BG59" s="32">
        <v>0.97252747252747251</v>
      </c>
      <c r="BH59" s="32">
        <v>0.97710622710622708</v>
      </c>
      <c r="BI59" s="32">
        <v>0.97710622710622708</v>
      </c>
      <c r="BJ59" s="32">
        <v>0.97239665096807948</v>
      </c>
      <c r="BK59" s="32">
        <v>0.96245421245421248</v>
      </c>
      <c r="BL59" s="32">
        <v>0.95970695970695974</v>
      </c>
      <c r="BM59" s="32">
        <v>0.96336996336996339</v>
      </c>
      <c r="BN59" s="32">
        <v>0.96336996336996339</v>
      </c>
      <c r="BO59" s="32">
        <v>1</v>
      </c>
      <c r="BP59" s="32">
        <v>1</v>
      </c>
      <c r="BQ59" s="32">
        <v>1</v>
      </c>
      <c r="BR59" s="32">
        <v>0.97841444270015709</v>
      </c>
      <c r="BS59" s="32">
        <v>0.95080500894454378</v>
      </c>
      <c r="BT59" s="32">
        <v>0.93649373881932019</v>
      </c>
      <c r="BU59" s="32">
        <v>0.95348837209302328</v>
      </c>
      <c r="BV59" s="32">
        <v>0.95796064400715564</v>
      </c>
      <c r="BW59" s="32">
        <v>0.9427549194991055</v>
      </c>
      <c r="BX59" s="32">
        <v>0.94096601073345254</v>
      </c>
      <c r="BY59" s="32">
        <v>0.94186046511627908</v>
      </c>
      <c r="BZ59" s="32">
        <v>0.94633273703041143</v>
      </c>
      <c r="CA59" s="32">
        <v>0.98933333333333329</v>
      </c>
      <c r="CB59" s="32">
        <v>0.9777183600713012</v>
      </c>
      <c r="CC59" s="32">
        <v>0.99288888888888893</v>
      </c>
      <c r="CD59" s="32">
        <v>0.99377777777777776</v>
      </c>
      <c r="CE59" s="32">
        <v>0.98311111111111116</v>
      </c>
      <c r="CF59" s="32">
        <v>0.98133333333333328</v>
      </c>
      <c r="CG59" s="32">
        <v>0.98399999999999999</v>
      </c>
      <c r="CH59" s="32">
        <v>0.98602325778796374</v>
      </c>
      <c r="CI59" s="32">
        <v>0.98222222222222222</v>
      </c>
      <c r="CJ59" s="32">
        <v>0.99555555555555553</v>
      </c>
      <c r="CK59" s="32">
        <v>0.98399999999999999</v>
      </c>
      <c r="CL59" s="32">
        <v>0.98488888888888892</v>
      </c>
      <c r="CM59" s="32">
        <v>0.98844444444444446</v>
      </c>
      <c r="CN59" s="32">
        <v>0.98222222222222222</v>
      </c>
      <c r="CO59" s="32">
        <v>0.98755555555555552</v>
      </c>
      <c r="CP59" s="32">
        <v>0.98641269841269852</v>
      </c>
      <c r="CQ59" s="32">
        <v>0.98133333333333328</v>
      </c>
      <c r="CR59" s="32">
        <v>0.98311111111111116</v>
      </c>
      <c r="CS59" s="32">
        <v>0.97866666666666668</v>
      </c>
      <c r="CT59" s="32">
        <v>0.97866666666666668</v>
      </c>
      <c r="CU59" s="32">
        <v>0.98133333333333328</v>
      </c>
      <c r="CV59" s="32">
        <v>0.98311111111111116</v>
      </c>
      <c r="CW59" s="32">
        <v>0.98311111111111116</v>
      </c>
      <c r="CX59" s="32">
        <v>0.98133333333333339</v>
      </c>
      <c r="CY59" s="32">
        <v>0.99733333333333329</v>
      </c>
      <c r="CZ59" s="32">
        <v>0.98311111111111116</v>
      </c>
      <c r="DA59" s="32">
        <v>1</v>
      </c>
      <c r="DB59" s="32">
        <v>1</v>
      </c>
      <c r="DC59" s="32">
        <v>0.99644444444444447</v>
      </c>
      <c r="DD59" s="32">
        <v>0.98577777777777775</v>
      </c>
      <c r="DE59" s="32">
        <v>0.9946666666666667</v>
      </c>
      <c r="DF59" s="32">
        <v>0.99390476190476196</v>
      </c>
      <c r="DG59" s="32">
        <v>0.98577777777777775</v>
      </c>
      <c r="DH59" s="32">
        <v>0.99911111111111106</v>
      </c>
      <c r="DI59" s="32">
        <v>0.98844444444444446</v>
      </c>
      <c r="DJ59" s="32">
        <v>0.98933333333333329</v>
      </c>
      <c r="DK59" s="32">
        <v>0.98311111111111116</v>
      </c>
      <c r="DL59" s="32">
        <v>0.99377777777777776</v>
      </c>
      <c r="DM59" s="32">
        <v>0.98399999999999999</v>
      </c>
      <c r="DN59" s="32">
        <v>0.98907936507936511</v>
      </c>
      <c r="DO59" s="32">
        <v>0.99377777777777776</v>
      </c>
      <c r="DP59" s="32">
        <v>0.98755555555555552</v>
      </c>
      <c r="DQ59" s="32">
        <v>0.99555555555555553</v>
      </c>
      <c r="DR59" s="32">
        <v>0.99644444444444447</v>
      </c>
      <c r="DS59" s="32">
        <v>0.99111111111111116</v>
      </c>
      <c r="DT59" s="32">
        <v>0.9946666666666667</v>
      </c>
      <c r="DU59" s="32">
        <v>0.99644444444444447</v>
      </c>
      <c r="DV59" s="32">
        <v>0.99365079365079367</v>
      </c>
      <c r="DW59" s="32">
        <v>0.97422222222222221</v>
      </c>
      <c r="DX59" s="32">
        <v>0.99822222222222223</v>
      </c>
      <c r="DY59" s="32">
        <v>0.98755555555555552</v>
      </c>
      <c r="DZ59" s="32">
        <v>1</v>
      </c>
      <c r="EA59" s="32">
        <v>0.98133333333333328</v>
      </c>
      <c r="EB59" s="32">
        <v>0.98666666666666669</v>
      </c>
      <c r="EC59" s="32">
        <v>0.98577777777777775</v>
      </c>
      <c r="ED59" s="32">
        <v>0.98768253968253972</v>
      </c>
      <c r="EE59" s="32">
        <v>0.98666666666666669</v>
      </c>
      <c r="EF59" s="32">
        <v>0.99111111111111116</v>
      </c>
      <c r="EG59" s="32">
        <v>0.99199999999999999</v>
      </c>
      <c r="EH59" s="32">
        <v>0.99199999999999999</v>
      </c>
      <c r="EI59" s="32">
        <v>0.99111111111111116</v>
      </c>
      <c r="EJ59" s="32">
        <v>0.98933333333333329</v>
      </c>
      <c r="EK59" s="32">
        <v>0.98666666666666669</v>
      </c>
      <c r="EL59" s="32">
        <v>0.98984126984126986</v>
      </c>
    </row>
    <row r="60" spans="38:142" x14ac:dyDescent="0.25">
      <c r="AL60" s="19" t="s">
        <v>113</v>
      </c>
      <c r="AM60" s="32">
        <v>0.97178683385579934</v>
      </c>
      <c r="AN60" s="32">
        <v>0.97560975609756095</v>
      </c>
      <c r="AO60" s="32">
        <v>0.95768025078369901</v>
      </c>
      <c r="AP60" s="32">
        <v>0.95201238390092879</v>
      </c>
      <c r="AQ60" s="32">
        <v>0.94598765432098764</v>
      </c>
      <c r="AR60" s="32">
        <v>0.99093655589123864</v>
      </c>
      <c r="AS60" s="32">
        <v>0.9614197530864198</v>
      </c>
      <c r="AT60" s="32">
        <v>0.96506188399094772</v>
      </c>
      <c r="AU60" s="32">
        <v>0.95510835913312697</v>
      </c>
      <c r="AV60" s="32">
        <v>0.97713414634146345</v>
      </c>
      <c r="AW60" s="32">
        <v>0.96551724137931039</v>
      </c>
      <c r="AX60" s="32">
        <v>0.96483180428134552</v>
      </c>
      <c r="AY60" s="32">
        <v>0.96341463414634143</v>
      </c>
      <c r="AZ60" s="32">
        <v>0.97103658536585369</v>
      </c>
      <c r="BA60" s="32">
        <v>0.95475113122171951</v>
      </c>
      <c r="BB60" s="32">
        <v>0.9645419859813088</v>
      </c>
      <c r="BC60" s="32">
        <v>0.94200626959247646</v>
      </c>
      <c r="BD60" s="32">
        <v>0.95684523809523814</v>
      </c>
      <c r="BE60" s="32">
        <v>0.94514106583072099</v>
      </c>
      <c r="BF60" s="32">
        <v>0.93846153846153846</v>
      </c>
      <c r="BG60" s="32">
        <v>0.97372488408037094</v>
      </c>
      <c r="BH60" s="32">
        <v>0.95023328149300157</v>
      </c>
      <c r="BI60" s="32">
        <v>0.95489891135303262</v>
      </c>
      <c r="BJ60" s="32">
        <v>0.95161588412948273</v>
      </c>
      <c r="BK60" s="32">
        <v>0.95141065830721006</v>
      </c>
      <c r="BL60" s="32">
        <v>0.94342507645259943</v>
      </c>
      <c r="BM60" s="32">
        <v>0.97058823529411764</v>
      </c>
      <c r="BN60" s="32">
        <v>0.96257485029940115</v>
      </c>
      <c r="BO60" s="32">
        <v>0.93260188087774298</v>
      </c>
      <c r="BP60" s="32">
        <v>0.85893416927899691</v>
      </c>
      <c r="BQ60" s="32">
        <v>0.87617554858934166</v>
      </c>
      <c r="BR60" s="32">
        <v>0.92795863129991563</v>
      </c>
      <c r="BS60" s="32">
        <v>0.94910179640718562</v>
      </c>
      <c r="BT60" s="32">
        <v>0.95703703703703702</v>
      </c>
      <c r="BU60" s="32">
        <v>0.94419970631424377</v>
      </c>
      <c r="BV60" s="32">
        <v>0.95809248554913296</v>
      </c>
      <c r="BW60" s="32">
        <v>0.97155688622754488</v>
      </c>
      <c r="BX60" s="32">
        <v>0.96842105263157896</v>
      </c>
      <c r="BY60" s="32">
        <v>0.93383458646616546</v>
      </c>
      <c r="BZ60" s="32">
        <v>0.95460622151898422</v>
      </c>
      <c r="CA60" s="32">
        <v>0.98315467075038288</v>
      </c>
      <c r="CB60" s="32">
        <v>0.95093795093795097</v>
      </c>
      <c r="CC60" s="32">
        <v>0.92036753445635533</v>
      </c>
      <c r="CD60" s="32">
        <v>0.96726190476190477</v>
      </c>
      <c r="CE60" s="32">
        <v>0.97172619047619047</v>
      </c>
      <c r="CF60" s="32">
        <v>0.92171344165435742</v>
      </c>
      <c r="CG60" s="32">
        <v>0.96066565809379723</v>
      </c>
      <c r="CH60" s="32">
        <v>0.95368962159013415</v>
      </c>
      <c r="CI60" s="32">
        <v>0.94213649851632042</v>
      </c>
      <c r="CJ60" s="32">
        <v>0.96187683284457481</v>
      </c>
      <c r="CK60" s="32">
        <v>0.97477744807121658</v>
      </c>
      <c r="CL60" s="32">
        <v>0.94222222222222218</v>
      </c>
      <c r="CM60" s="32">
        <v>0.97014925373134331</v>
      </c>
      <c r="CN60" s="32">
        <v>0.96312684365781709</v>
      </c>
      <c r="CO60" s="32">
        <v>0.97466467958271241</v>
      </c>
      <c r="CP60" s="32">
        <v>0.96127911123231524</v>
      </c>
      <c r="CQ60" s="32">
        <v>0.98473282442748089</v>
      </c>
      <c r="CR60" s="32">
        <v>0.95575221238938057</v>
      </c>
      <c r="CS60" s="32">
        <v>0.97608370702541103</v>
      </c>
      <c r="CT60" s="32">
        <v>0.97037037037037033</v>
      </c>
      <c r="CU60" s="32">
        <v>0.96078431372549022</v>
      </c>
      <c r="CV60" s="32">
        <v>0.95735294117647063</v>
      </c>
      <c r="CW60" s="32">
        <v>0.93898809523809523</v>
      </c>
      <c r="CX60" s="32">
        <v>0.96343778062181407</v>
      </c>
      <c r="CY60" s="32">
        <v>0.96307692307692305</v>
      </c>
      <c r="CZ60" s="32">
        <v>0.95168374816983892</v>
      </c>
      <c r="DA60" s="32">
        <v>0.96615384615384614</v>
      </c>
      <c r="DB60" s="32">
        <v>0.93990755007704163</v>
      </c>
      <c r="DC60" s="32">
        <v>0.97451274362818596</v>
      </c>
      <c r="DD60" s="32">
        <v>0.97337278106508873</v>
      </c>
      <c r="DE60" s="32">
        <v>0.96546546546546541</v>
      </c>
      <c r="DF60" s="32">
        <v>0.96202472251948434</v>
      </c>
      <c r="DG60" s="32">
        <v>0.92900302114803623</v>
      </c>
      <c r="DH60" s="32">
        <v>0.98509687034277194</v>
      </c>
      <c r="DI60" s="32">
        <v>0.92530487804878048</v>
      </c>
      <c r="DJ60" s="32">
        <v>0.96349206349206351</v>
      </c>
      <c r="DK60" s="32">
        <v>0.93471810089020768</v>
      </c>
      <c r="DL60" s="32">
        <v>0.97757847533632292</v>
      </c>
      <c r="DM60" s="32">
        <v>0.9555555555555556</v>
      </c>
      <c r="DN60" s="32">
        <v>0.95296413783053402</v>
      </c>
      <c r="DO60" s="32">
        <v>0.94514106583072099</v>
      </c>
      <c r="DP60" s="32">
        <v>0.96837349397590367</v>
      </c>
      <c r="DQ60" s="32">
        <v>0.95924764890282133</v>
      </c>
      <c r="DR60" s="32">
        <v>0.93730407523510972</v>
      </c>
      <c r="DS60" s="32">
        <v>0.94744976816074189</v>
      </c>
      <c r="DT60" s="32">
        <v>0.9319213313161876</v>
      </c>
      <c r="DU60" s="32">
        <v>0.94793261868300149</v>
      </c>
      <c r="DV60" s="32">
        <v>0.94819571458635532</v>
      </c>
      <c r="DW60" s="32">
        <v>0.93887147335423193</v>
      </c>
      <c r="DX60" s="32">
        <v>0.93730407523510972</v>
      </c>
      <c r="DY60" s="32">
        <v>0.95054095826893359</v>
      </c>
      <c r="DZ60" s="32">
        <v>0.95252225519287836</v>
      </c>
      <c r="EA60" s="32">
        <v>0.94648318042813451</v>
      </c>
      <c r="EB60" s="32">
        <v>0.95297805642633227</v>
      </c>
      <c r="EC60" s="32">
        <v>0.9524539877300614</v>
      </c>
      <c r="ED60" s="32">
        <v>0.947307712376526</v>
      </c>
      <c r="EE60" s="32">
        <v>0.94848484848484849</v>
      </c>
      <c r="EF60" s="32">
        <v>0.96475770925110127</v>
      </c>
      <c r="EG60" s="32">
        <v>0.96433878157503716</v>
      </c>
      <c r="EH60" s="32">
        <v>0.96318114874815908</v>
      </c>
      <c r="EI60" s="32">
        <v>0.97168405365126675</v>
      </c>
      <c r="EJ60" s="32">
        <v>0.94542772861356927</v>
      </c>
      <c r="EK60" s="32">
        <v>0.94224924012158051</v>
      </c>
      <c r="EL60" s="32">
        <v>0.9571605014922232</v>
      </c>
    </row>
    <row r="61" spans="38:142" x14ac:dyDescent="0.25">
      <c r="AL61" s="19" t="s">
        <v>114</v>
      </c>
      <c r="AM61" s="32">
        <v>0.93948126801152743</v>
      </c>
      <c r="AN61" s="32">
        <v>0.94002789400278941</v>
      </c>
      <c r="AO61" s="32">
        <v>0.93333333333333335</v>
      </c>
      <c r="AP61" s="32">
        <v>0.92191780821917813</v>
      </c>
      <c r="AQ61" s="32">
        <v>0.93447293447293445</v>
      </c>
      <c r="AR61" s="32">
        <v>0.92957746478873238</v>
      </c>
      <c r="AS61" s="32">
        <v>0.93502824858757061</v>
      </c>
      <c r="AT61" s="32">
        <v>0.93340556448800938</v>
      </c>
      <c r="AU61" s="32">
        <v>0.88920454545454541</v>
      </c>
      <c r="AV61" s="32">
        <v>0.93084370677731676</v>
      </c>
      <c r="AW61" s="32">
        <v>0.90349650349650346</v>
      </c>
      <c r="AX61" s="32">
        <v>0.92953929539295388</v>
      </c>
      <c r="AY61" s="32">
        <v>0.92460881934566141</v>
      </c>
      <c r="AZ61" s="32">
        <v>0.92686357243319273</v>
      </c>
      <c r="BA61" s="32">
        <v>0.91701828410689168</v>
      </c>
      <c r="BB61" s="32">
        <v>0.91736781814386659</v>
      </c>
      <c r="BC61" s="32">
        <v>0.92479108635097496</v>
      </c>
      <c r="BD61" s="32">
        <v>0.92401628222523746</v>
      </c>
      <c r="BE61" s="32">
        <v>0.90857946554149083</v>
      </c>
      <c r="BF61" s="32">
        <v>0.9310829817158931</v>
      </c>
      <c r="BG61" s="32">
        <v>0.93661971830985913</v>
      </c>
      <c r="BH61" s="32">
        <v>0.94044321329639891</v>
      </c>
      <c r="BI61" s="32">
        <v>0.92767732962447846</v>
      </c>
      <c r="BJ61" s="32">
        <v>0.92760143958061902</v>
      </c>
      <c r="BK61" s="32">
        <v>0.93227665706051877</v>
      </c>
      <c r="BL61" s="32">
        <v>0.93487698986975398</v>
      </c>
      <c r="BM61" s="32">
        <v>0.93362193362193358</v>
      </c>
      <c r="BN61" s="32">
        <v>0.92550143266475648</v>
      </c>
      <c r="BO61" s="32">
        <v>0.93353028064992616</v>
      </c>
      <c r="BP61" s="32">
        <v>0.8736998514115899</v>
      </c>
      <c r="BQ61" s="32">
        <v>0.87910447761194033</v>
      </c>
      <c r="BR61" s="32">
        <v>0.91608737469863133</v>
      </c>
      <c r="BS61" s="32">
        <v>0.922425952045134</v>
      </c>
      <c r="BT61" s="32">
        <v>0.90335570469798654</v>
      </c>
      <c r="BU61" s="32">
        <v>0.93093922651933703</v>
      </c>
      <c r="BV61" s="32">
        <v>0.92517006802721091</v>
      </c>
      <c r="BW61" s="32">
        <v>0.89823609226594303</v>
      </c>
      <c r="BX61" s="32">
        <v>0.88720770288858319</v>
      </c>
      <c r="BY61" s="32">
        <v>0.89480874316939896</v>
      </c>
      <c r="BZ61" s="32">
        <v>0.90887764137337046</v>
      </c>
      <c r="CA61" s="32">
        <v>0.91926345609065152</v>
      </c>
      <c r="CB61" s="32">
        <v>0.91239892183288407</v>
      </c>
      <c r="CC61" s="32">
        <v>0.92765957446808511</v>
      </c>
      <c r="CD61" s="32">
        <v>0.91597796143250687</v>
      </c>
      <c r="CE61" s="32">
        <v>0.91926345609065152</v>
      </c>
      <c r="CF61" s="32">
        <v>0.90971272229822164</v>
      </c>
      <c r="CG61" s="32">
        <v>0.92116182572614103</v>
      </c>
      <c r="CH61" s="32">
        <v>0.91791970256273447</v>
      </c>
      <c r="CI61" s="32">
        <v>0.91527777777777775</v>
      </c>
      <c r="CJ61" s="32">
        <v>0.9080779944289693</v>
      </c>
      <c r="CK61" s="32">
        <v>0.92489568845618919</v>
      </c>
      <c r="CL61" s="32">
        <v>0.9285714285714286</v>
      </c>
      <c r="CM61" s="32">
        <v>0.91960507757404797</v>
      </c>
      <c r="CN61" s="32">
        <v>0.90998593530239102</v>
      </c>
      <c r="CO61" s="32">
        <v>0.91388888888888886</v>
      </c>
      <c r="CP61" s="32">
        <v>0.91718611299995612</v>
      </c>
      <c r="CQ61" s="32">
        <v>0.92644978783592646</v>
      </c>
      <c r="CR61" s="32">
        <v>0.91352859135285913</v>
      </c>
      <c r="CS61" s="32">
        <v>0.92975206611570249</v>
      </c>
      <c r="CT61" s="32">
        <v>0.91922005571030641</v>
      </c>
      <c r="CU61" s="32">
        <v>0.92339832869080785</v>
      </c>
      <c r="CV61" s="32">
        <v>0.92200557103064062</v>
      </c>
      <c r="CW61" s="32">
        <v>0.9316596931659693</v>
      </c>
      <c r="CX61" s="32">
        <v>0.92371629912888753</v>
      </c>
      <c r="CY61" s="32">
        <v>0.9339887640449438</v>
      </c>
      <c r="CZ61" s="32">
        <v>0.94405594405594406</v>
      </c>
      <c r="DA61" s="32">
        <v>0.9231824417009602</v>
      </c>
      <c r="DB61" s="32">
        <v>0.9261744966442953</v>
      </c>
      <c r="DC61" s="32">
        <v>0.92392807745504846</v>
      </c>
      <c r="DD61" s="32">
        <v>0.93074792243767313</v>
      </c>
      <c r="DE61" s="32">
        <v>0.92597765363128492</v>
      </c>
      <c r="DF61" s="32">
        <v>0.92972218571002152</v>
      </c>
      <c r="DG61" s="32">
        <v>0.89391796322489392</v>
      </c>
      <c r="DH61" s="32">
        <v>0.922237380627558</v>
      </c>
      <c r="DI61" s="32">
        <v>0.9178470254957507</v>
      </c>
      <c r="DJ61" s="32">
        <v>0.92817679558011046</v>
      </c>
      <c r="DK61" s="32">
        <v>0.92105263157894735</v>
      </c>
      <c r="DL61" s="32">
        <v>0.9261285909712722</v>
      </c>
      <c r="DM61" s="32">
        <v>0.91816920943134539</v>
      </c>
      <c r="DN61" s="32">
        <v>0.91821851384426822</v>
      </c>
      <c r="DO61" s="32">
        <v>0.92198581560283688</v>
      </c>
      <c r="DP61" s="32">
        <v>0.92022008253094911</v>
      </c>
      <c r="DQ61" s="32">
        <v>0.91267605633802817</v>
      </c>
      <c r="DR61" s="32">
        <v>0.90082644628099173</v>
      </c>
      <c r="DS61" s="32">
        <v>0.91933240611961053</v>
      </c>
      <c r="DT61" s="32">
        <v>0.92339832869080785</v>
      </c>
      <c r="DU61" s="32">
        <v>0.92520775623268703</v>
      </c>
      <c r="DV61" s="32">
        <v>0.91766384168513027</v>
      </c>
      <c r="DW61" s="32">
        <v>0.90816326530612246</v>
      </c>
      <c r="DX61" s="32">
        <v>0.91444600280504906</v>
      </c>
      <c r="DY61" s="32">
        <v>0.92352092352092352</v>
      </c>
      <c r="DZ61" s="32">
        <v>0.90084985835694054</v>
      </c>
      <c r="EA61" s="32">
        <v>0.90769230769230769</v>
      </c>
      <c r="EB61" s="32">
        <v>0.92339832869080785</v>
      </c>
      <c r="EC61" s="32">
        <v>0.91771269177126913</v>
      </c>
      <c r="ED61" s="32">
        <v>0.91368333973477434</v>
      </c>
      <c r="EE61" s="32">
        <v>0.90816326530612246</v>
      </c>
      <c r="EF61" s="32">
        <v>0.90857142857142859</v>
      </c>
      <c r="EG61" s="32">
        <v>0.92040520984081042</v>
      </c>
      <c r="EH61" s="32">
        <v>0.92318634423897583</v>
      </c>
      <c r="EI61" s="32">
        <v>0.91440798858773176</v>
      </c>
      <c r="EJ61" s="32">
        <v>0.92120343839541552</v>
      </c>
      <c r="EK61" s="32">
        <v>0.92582025677603419</v>
      </c>
      <c r="EL61" s="32">
        <v>0.91739399024521695</v>
      </c>
    </row>
    <row r="62" spans="38:142" x14ac:dyDescent="0.25">
      <c r="AL62" s="19" t="s">
        <v>115</v>
      </c>
      <c r="AM62" s="32">
        <v>0.93653173413293356</v>
      </c>
      <c r="AN62" s="32">
        <v>0.92807192807192807</v>
      </c>
      <c r="AO62" s="32">
        <v>0.91532258064516125</v>
      </c>
      <c r="AP62" s="32">
        <v>0.93756294058408862</v>
      </c>
      <c r="AQ62" s="32">
        <v>0.92764471057884235</v>
      </c>
      <c r="AR62" s="32">
        <v>0.92</v>
      </c>
      <c r="AS62" s="32">
        <v>0.92572283150548351</v>
      </c>
      <c r="AT62" s="32">
        <v>0.92726524650263387</v>
      </c>
      <c r="AU62" s="32">
        <v>0.92364898363906789</v>
      </c>
      <c r="AV62" s="32">
        <v>0.9380928607089366</v>
      </c>
      <c r="AW62" s="32">
        <v>0.92284569138276551</v>
      </c>
      <c r="AX62" s="32">
        <v>0.92681704260651632</v>
      </c>
      <c r="AY62" s="32">
        <v>0.9249502982107356</v>
      </c>
      <c r="AZ62" s="32">
        <v>0.91904047976011993</v>
      </c>
      <c r="BA62" s="32">
        <v>0.91458541458541454</v>
      </c>
      <c r="BB62" s="32">
        <v>0.92428296727050807</v>
      </c>
      <c r="BC62" s="32">
        <v>0.86742800397219466</v>
      </c>
      <c r="BD62" s="32">
        <v>0.93796526054590568</v>
      </c>
      <c r="BE62" s="32">
        <v>0.92230576441102752</v>
      </c>
      <c r="BF62" s="32">
        <v>0.9262418464626192</v>
      </c>
      <c r="BG62" s="32">
        <v>0.92896174863387981</v>
      </c>
      <c r="BH62" s="32">
        <v>0.93858345715700842</v>
      </c>
      <c r="BI62" s="32">
        <v>0.93684733963202382</v>
      </c>
      <c r="BJ62" s="32">
        <v>0.92261906011637984</v>
      </c>
      <c r="BK62" s="32">
        <v>0.87344913151364767</v>
      </c>
      <c r="BL62" s="32">
        <v>0.89104477611940303</v>
      </c>
      <c r="BM62" s="32">
        <v>0.88783174762143213</v>
      </c>
      <c r="BN62" s="32">
        <v>0.8822652757078987</v>
      </c>
      <c r="BO62" s="32">
        <v>0.83789159622078568</v>
      </c>
      <c r="BP62" s="32">
        <v>0.82545997016409745</v>
      </c>
      <c r="BQ62" s="32">
        <v>0.82098458478368974</v>
      </c>
      <c r="BR62" s="32">
        <v>0.85984672601870771</v>
      </c>
      <c r="BS62" s="32">
        <v>0.89812992125984248</v>
      </c>
      <c r="BT62" s="32">
        <v>0.87820512820512819</v>
      </c>
      <c r="BU62" s="32">
        <v>0.91319444444444442</v>
      </c>
      <c r="BV62" s="32">
        <v>0.92885572139303485</v>
      </c>
      <c r="BW62" s="32">
        <v>0.88730314960629919</v>
      </c>
      <c r="BX62" s="32">
        <v>0.86840808279940862</v>
      </c>
      <c r="BY62" s="32">
        <v>0.86945812807881773</v>
      </c>
      <c r="BZ62" s="32">
        <v>0.89193636796956788</v>
      </c>
      <c r="CA62" s="32">
        <v>0.93540433925049304</v>
      </c>
      <c r="CB62" s="32">
        <v>0.93145956607495073</v>
      </c>
      <c r="CC62" s="32">
        <v>0.92143212332173052</v>
      </c>
      <c r="CD62" s="32">
        <v>0.92690203878667332</v>
      </c>
      <c r="CE62" s="32">
        <v>0.93343195266272194</v>
      </c>
      <c r="CF62" s="32">
        <v>0.93494332183341544</v>
      </c>
      <c r="CG62" s="32">
        <v>0.94033530571992108</v>
      </c>
      <c r="CH62" s="32">
        <v>0.93198694966427242</v>
      </c>
      <c r="CI62" s="32">
        <v>0.91863905325443784</v>
      </c>
      <c r="CJ62" s="32">
        <v>0.91190944881889768</v>
      </c>
      <c r="CK62" s="32">
        <v>0.91044776119402981</v>
      </c>
      <c r="CL62" s="32">
        <v>0.91243781094527365</v>
      </c>
      <c r="CM62" s="32">
        <v>0.91765285996055224</v>
      </c>
      <c r="CN62" s="32">
        <v>0.92906403940886695</v>
      </c>
      <c r="CO62" s="32">
        <v>0.92800788954635105</v>
      </c>
      <c r="CP62" s="32">
        <v>0.91830840901834421</v>
      </c>
      <c r="CQ62" s="32">
        <v>0.91486220472440949</v>
      </c>
      <c r="CR62" s="32">
        <v>0.92436149312377214</v>
      </c>
      <c r="CS62" s="32">
        <v>0.91658391261171801</v>
      </c>
      <c r="CT62" s="32">
        <v>0.92846497764530556</v>
      </c>
      <c r="CU62" s="32">
        <v>0.92610837438423643</v>
      </c>
      <c r="CV62" s="32">
        <v>0.91227205519960575</v>
      </c>
      <c r="CW62" s="32">
        <v>0.91818629866929524</v>
      </c>
      <c r="CX62" s="32">
        <v>0.9201199023369061</v>
      </c>
      <c r="CY62" s="32">
        <v>0.92727272727272725</v>
      </c>
      <c r="CZ62" s="32">
        <v>0.9329417523250122</v>
      </c>
      <c r="DA62" s="32">
        <v>0.92288557213930345</v>
      </c>
      <c r="DB62" s="32">
        <v>0.94776119402985071</v>
      </c>
      <c r="DC62" s="32">
        <v>0.93251231527093592</v>
      </c>
      <c r="DD62" s="32">
        <v>0.92357001972386588</v>
      </c>
      <c r="DE62" s="32">
        <v>0.92372047244094491</v>
      </c>
      <c r="DF62" s="32">
        <v>0.93009486474323444</v>
      </c>
      <c r="DG62" s="32">
        <v>0.89782823297137215</v>
      </c>
      <c r="DH62" s="32">
        <v>0.91954590325765051</v>
      </c>
      <c r="DI62" s="32">
        <v>0.90492782478845202</v>
      </c>
      <c r="DJ62" s="32">
        <v>0.92027902341803691</v>
      </c>
      <c r="DK62" s="32">
        <v>0.9181459566074951</v>
      </c>
      <c r="DL62" s="32">
        <v>0.91883915395966553</v>
      </c>
      <c r="DM62" s="32">
        <v>0.9275147928994083</v>
      </c>
      <c r="DN62" s="32">
        <v>0.91529726970029734</v>
      </c>
      <c r="DO62" s="32">
        <v>0.89935865811544158</v>
      </c>
      <c r="DP62" s="32">
        <v>0.90962671905697445</v>
      </c>
      <c r="DQ62" s="32">
        <v>0.89353233830845769</v>
      </c>
      <c r="DR62" s="32">
        <v>0.90547263681592038</v>
      </c>
      <c r="DS62" s="32">
        <v>0.91173570019723871</v>
      </c>
      <c r="DT62" s="32">
        <v>0.90971879625061669</v>
      </c>
      <c r="DU62" s="32">
        <v>0.91838741396263524</v>
      </c>
      <c r="DV62" s="32">
        <v>0.90683318038675487</v>
      </c>
      <c r="DW62" s="32">
        <v>0.87772277227722773</v>
      </c>
      <c r="DX62" s="32">
        <v>0.91822660098522169</v>
      </c>
      <c r="DY62" s="32">
        <v>0.89644822411205605</v>
      </c>
      <c r="DZ62" s="32">
        <v>0.90654672663668168</v>
      </c>
      <c r="EA62" s="32">
        <v>0.89728395061728394</v>
      </c>
      <c r="EB62" s="32">
        <v>0.9118226600985222</v>
      </c>
      <c r="EC62" s="32">
        <v>0.9027160493827161</v>
      </c>
      <c r="ED62" s="32">
        <v>0.90153814058710147</v>
      </c>
      <c r="EE62" s="32">
        <v>0.90594059405940597</v>
      </c>
      <c r="EF62" s="32">
        <v>0.91017369727047148</v>
      </c>
      <c r="EG62" s="32">
        <v>0.90414378432351472</v>
      </c>
      <c r="EH62" s="32">
        <v>0.90904572564612329</v>
      </c>
      <c r="EI62" s="32">
        <v>0.89911417322834641</v>
      </c>
      <c r="EJ62" s="32">
        <v>0.90367428003972194</v>
      </c>
      <c r="EK62" s="32">
        <v>0.8979793001478561</v>
      </c>
      <c r="EL62" s="32">
        <v>0.90429593638792005</v>
      </c>
    </row>
    <row r="63" spans="38:142" x14ac:dyDescent="0.25">
      <c r="AL63" s="19" t="s">
        <v>116</v>
      </c>
      <c r="AM63" s="32">
        <v>0.98109243697478987</v>
      </c>
      <c r="AN63" s="32">
        <v>0.98947368421052628</v>
      </c>
      <c r="AO63" s="32">
        <v>0.98336798336798337</v>
      </c>
      <c r="AP63" s="32">
        <v>0.9895397489539749</v>
      </c>
      <c r="AQ63" s="32">
        <v>0.98541666666666672</v>
      </c>
      <c r="AR63" s="32">
        <v>0.97698744769874479</v>
      </c>
      <c r="AS63" s="32">
        <v>0.97916666666666663</v>
      </c>
      <c r="AT63" s="32">
        <v>0.98357780493419333</v>
      </c>
      <c r="AU63" s="32">
        <v>0.97920997920997921</v>
      </c>
      <c r="AV63" s="32">
        <v>0.97933884297520657</v>
      </c>
      <c r="AW63" s="32">
        <v>0.99164926931106467</v>
      </c>
      <c r="AX63" s="32">
        <v>0.99375000000000002</v>
      </c>
      <c r="AY63" s="32">
        <v>0.98523206751054848</v>
      </c>
      <c r="AZ63" s="32">
        <v>0.98538622129436326</v>
      </c>
      <c r="BA63" s="32">
        <v>0.98101265822784811</v>
      </c>
      <c r="BB63" s="32">
        <v>0.98508271978985851</v>
      </c>
      <c r="BC63" s="32">
        <v>0.97095435684647302</v>
      </c>
      <c r="BD63" s="32">
        <v>0.98350515463917521</v>
      </c>
      <c r="BE63" s="32">
        <v>0.97089397089397089</v>
      </c>
      <c r="BF63" s="32">
        <v>0.97929606625258803</v>
      </c>
      <c r="BG63" s="32">
        <v>0.97473684210526312</v>
      </c>
      <c r="BH63" s="32">
        <v>0.9854469854469855</v>
      </c>
      <c r="BI63" s="32">
        <v>0.97484276729559749</v>
      </c>
      <c r="BJ63" s="32">
        <v>0.97709659192572196</v>
      </c>
      <c r="BK63" s="32">
        <v>0.97535934291581106</v>
      </c>
      <c r="BL63" s="32">
        <v>0.95893223819301843</v>
      </c>
      <c r="BM63" s="32">
        <v>0.98780487804878048</v>
      </c>
      <c r="BN63" s="32">
        <v>0.97755102040816322</v>
      </c>
      <c r="BO63" s="32">
        <v>0.97330595482546201</v>
      </c>
      <c r="BP63" s="32">
        <v>0.94374999999999998</v>
      </c>
      <c r="BQ63" s="32">
        <v>0.95833333333333337</v>
      </c>
      <c r="BR63" s="32">
        <v>0.96786239538922403</v>
      </c>
      <c r="BS63" s="32">
        <v>0.9878296146044625</v>
      </c>
      <c r="BT63" s="32">
        <v>0.97967479674796742</v>
      </c>
      <c r="BU63" s="32">
        <v>0.99391480730223125</v>
      </c>
      <c r="BV63" s="32">
        <v>0.99391480730223125</v>
      </c>
      <c r="BW63" s="32">
        <v>0.98775510204081629</v>
      </c>
      <c r="BX63" s="32">
        <v>0.97154471544715448</v>
      </c>
      <c r="BY63" s="32">
        <v>0.98170731707317072</v>
      </c>
      <c r="BZ63" s="32">
        <v>0.98519159435971915</v>
      </c>
      <c r="CA63" s="32">
        <v>0.97546012269938653</v>
      </c>
      <c r="CB63" s="32">
        <v>0.98580121703853951</v>
      </c>
      <c r="CC63" s="32">
        <v>0.97950819672131151</v>
      </c>
      <c r="CD63" s="32">
        <v>0.99382716049382713</v>
      </c>
      <c r="CE63" s="32">
        <v>0.9878296146044625</v>
      </c>
      <c r="CF63" s="32">
        <v>0.98983739837398377</v>
      </c>
      <c r="CG63" s="32">
        <v>0.98975409836065575</v>
      </c>
      <c r="CH63" s="32">
        <v>0.98600254404173815</v>
      </c>
      <c r="CI63" s="32">
        <v>0.95381526104417669</v>
      </c>
      <c r="CJ63" s="32">
        <v>0.99182004089979547</v>
      </c>
      <c r="CK63" s="32">
        <v>0.95893223819301843</v>
      </c>
      <c r="CL63" s="32">
        <v>0.95334685598377278</v>
      </c>
      <c r="CM63" s="32">
        <v>0.98167006109979638</v>
      </c>
      <c r="CN63" s="32">
        <v>0.98975409836065575</v>
      </c>
      <c r="CO63" s="32">
        <v>0.98377281947261663</v>
      </c>
      <c r="CP63" s="32">
        <v>0.97330162500769024</v>
      </c>
      <c r="CQ63" s="32">
        <v>0.94929006085192702</v>
      </c>
      <c r="CR63" s="32">
        <v>0.95296523517382414</v>
      </c>
      <c r="CS63" s="32">
        <v>0.95141700404858298</v>
      </c>
      <c r="CT63" s="32">
        <v>0.95344129554655865</v>
      </c>
      <c r="CU63" s="32">
        <v>0.96932515337423308</v>
      </c>
      <c r="CV63" s="32">
        <v>0.96907216494845361</v>
      </c>
      <c r="CW63" s="32">
        <v>0.98144329896907212</v>
      </c>
      <c r="CX63" s="32">
        <v>0.96099345898752175</v>
      </c>
      <c r="CY63" s="32">
        <v>0.96638655462184875</v>
      </c>
      <c r="CZ63" s="32">
        <v>0.96106557377049184</v>
      </c>
      <c r="DA63" s="32">
        <v>0.95991561181434604</v>
      </c>
      <c r="DB63" s="32">
        <v>0.97674418604651159</v>
      </c>
      <c r="DC63" s="32">
        <v>0.95277207392197127</v>
      </c>
      <c r="DD63" s="32">
        <v>0.98140495867768596</v>
      </c>
      <c r="DE63" s="32">
        <v>0.96296296296296291</v>
      </c>
      <c r="DF63" s="32">
        <v>0.96589313168797408</v>
      </c>
      <c r="DG63" s="32">
        <v>0.96186440677966101</v>
      </c>
      <c r="DH63" s="32">
        <v>0.97669491525423724</v>
      </c>
      <c r="DI63" s="32">
        <v>0.97890295358649793</v>
      </c>
      <c r="DJ63" s="32">
        <v>0.97463002114164909</v>
      </c>
      <c r="DK63" s="32">
        <v>0.97664543524416136</v>
      </c>
      <c r="DL63" s="32">
        <v>0.97239915074309979</v>
      </c>
      <c r="DM63" s="32">
        <v>0.95983086680761098</v>
      </c>
      <c r="DN63" s="32">
        <v>0.97156682136527384</v>
      </c>
      <c r="DO63" s="32">
        <v>0.9593147751605996</v>
      </c>
      <c r="DP63" s="32">
        <v>0.97664543524416136</v>
      </c>
      <c r="DQ63" s="32">
        <v>0.9850746268656716</v>
      </c>
      <c r="DR63" s="32">
        <v>0.98297872340425529</v>
      </c>
      <c r="DS63" s="32">
        <v>0.96835443037974689</v>
      </c>
      <c r="DT63" s="32">
        <v>0.97216274089935761</v>
      </c>
      <c r="DU63" s="32">
        <v>0.96815286624203822</v>
      </c>
      <c r="DV63" s="32">
        <v>0.97324051402797573</v>
      </c>
      <c r="DW63" s="32">
        <v>0.97876857749469215</v>
      </c>
      <c r="DX63" s="32">
        <v>0.99150743099787686</v>
      </c>
      <c r="DY63" s="32">
        <v>0.98529411764705888</v>
      </c>
      <c r="DZ63" s="32">
        <v>0.98951781970649899</v>
      </c>
      <c r="EA63" s="32">
        <v>0.98076923076923073</v>
      </c>
      <c r="EB63" s="32">
        <v>0.98715203426124198</v>
      </c>
      <c r="EC63" s="32">
        <v>0.99159663865546221</v>
      </c>
      <c r="ED63" s="32">
        <v>0.98637226421886592</v>
      </c>
      <c r="EE63" s="32">
        <v>0.97268907563025209</v>
      </c>
      <c r="EF63" s="32">
        <v>0.99161425576519913</v>
      </c>
      <c r="EG63" s="32">
        <v>0.96631578947368424</v>
      </c>
      <c r="EH63" s="32">
        <v>0.97046413502109707</v>
      </c>
      <c r="EI63" s="32">
        <v>0.97463002114164909</v>
      </c>
      <c r="EJ63" s="32">
        <v>0.98319327731092432</v>
      </c>
      <c r="EK63" s="32">
        <v>0.9642857142857143</v>
      </c>
      <c r="EL63" s="32">
        <v>0.97474175266121732</v>
      </c>
    </row>
    <row r="64" spans="38:142" x14ac:dyDescent="0.25">
      <c r="AL64" s="19" t="s">
        <v>117</v>
      </c>
      <c r="AM64" s="32">
        <v>0.96590909090909094</v>
      </c>
      <c r="AN64" s="32">
        <v>0.97709923664122134</v>
      </c>
      <c r="AO64" s="32">
        <v>0.94507575757575757</v>
      </c>
      <c r="AP64" s="32">
        <v>0.9375</v>
      </c>
      <c r="AQ64" s="32">
        <v>0.95265151515151514</v>
      </c>
      <c r="AR64" s="32">
        <v>0.97983870967741937</v>
      </c>
      <c r="AS64" s="32">
        <v>0.97983870967741937</v>
      </c>
      <c r="AT64" s="32">
        <v>0.96255900280463202</v>
      </c>
      <c r="AU64" s="32">
        <v>0.97916666666666663</v>
      </c>
      <c r="AV64" s="32">
        <v>0.93181818181818177</v>
      </c>
      <c r="AW64" s="32">
        <v>0.96401515151515149</v>
      </c>
      <c r="AX64" s="32">
        <v>0.96755725190839692</v>
      </c>
      <c r="AY64" s="32">
        <v>0.97159090909090906</v>
      </c>
      <c r="AZ64" s="32">
        <v>0.93181818181818177</v>
      </c>
      <c r="BA64" s="32">
        <v>0.91477272727272729</v>
      </c>
      <c r="BB64" s="32">
        <v>0.95153415287003074</v>
      </c>
      <c r="BC64" s="32">
        <v>0.94696969696969702</v>
      </c>
      <c r="BD64" s="32">
        <v>0.99622641509433962</v>
      </c>
      <c r="BE64" s="32">
        <v>0.89204545454545459</v>
      </c>
      <c r="BF64" s="32">
        <v>0.91856060606060608</v>
      </c>
      <c r="BG64" s="32">
        <v>0.95454545454545459</v>
      </c>
      <c r="BH64" s="32">
        <v>1</v>
      </c>
      <c r="BI64" s="32">
        <v>0.98106060606060608</v>
      </c>
      <c r="BJ64" s="32">
        <v>0.95562974761087982</v>
      </c>
      <c r="BK64" s="32">
        <v>0.88446969696969702</v>
      </c>
      <c r="BL64" s="32">
        <v>0.92992424242424243</v>
      </c>
      <c r="BM64" s="32">
        <v>0.89393939393939392</v>
      </c>
      <c r="BN64" s="32">
        <v>0.93560606060606055</v>
      </c>
      <c r="BO64" s="32">
        <v>0.7992424242424242</v>
      </c>
      <c r="BP64" s="32">
        <v>0.91477272727272729</v>
      </c>
      <c r="BQ64" s="32">
        <v>0.82725527831094048</v>
      </c>
      <c r="BR64" s="32">
        <v>0.88360140339506932</v>
      </c>
      <c r="BS64" s="32">
        <v>0.95370370370370372</v>
      </c>
      <c r="BT64" s="32">
        <v>0.97348484848484851</v>
      </c>
      <c r="BU64" s="32">
        <v>0.95</v>
      </c>
      <c r="BV64" s="32">
        <v>0.96851851851851856</v>
      </c>
      <c r="BW64" s="32">
        <v>0.95</v>
      </c>
      <c r="BX64" s="32">
        <v>0.97916666666666663</v>
      </c>
      <c r="BY64" s="32">
        <v>0.92992424242424243</v>
      </c>
      <c r="BZ64" s="32">
        <v>0.95782828282828281</v>
      </c>
      <c r="CA64" s="32">
        <v>0.94444444444444442</v>
      </c>
      <c r="CB64" s="32">
        <v>0.96481481481481479</v>
      </c>
      <c r="CC64" s="32">
        <v>0.96590909090909094</v>
      </c>
      <c r="CD64" s="32">
        <v>0.99629629629629635</v>
      </c>
      <c r="CE64" s="32">
        <v>0.9462962962962963</v>
      </c>
      <c r="CF64" s="32">
        <v>0.97037037037037033</v>
      </c>
      <c r="CG64" s="32">
        <v>0.96780303030303028</v>
      </c>
      <c r="CH64" s="32">
        <v>0.96513347763347757</v>
      </c>
      <c r="CI64" s="32">
        <v>0.97592592592592597</v>
      </c>
      <c r="CJ64" s="32">
        <v>0.97222222222222221</v>
      </c>
      <c r="CK64" s="32">
        <v>0.96296296296296291</v>
      </c>
      <c r="CL64" s="32">
        <v>0.97610294117647056</v>
      </c>
      <c r="CM64" s="32">
        <v>1</v>
      </c>
      <c r="CN64" s="32">
        <v>0.98703703703703705</v>
      </c>
      <c r="CO64" s="32">
        <v>1</v>
      </c>
      <c r="CP64" s="32">
        <v>0.98203586990351699</v>
      </c>
      <c r="CQ64" s="32">
        <v>0.9349112426035503</v>
      </c>
      <c r="CR64" s="32">
        <v>0.98351648351648346</v>
      </c>
      <c r="CS64" s="32">
        <v>0.90513833992094861</v>
      </c>
      <c r="CT64" s="32">
        <v>0.90980392156862744</v>
      </c>
      <c r="CU64" s="32">
        <v>0.95370370370370372</v>
      </c>
      <c r="CV64" s="32">
        <v>0.99084249084249088</v>
      </c>
      <c r="CW64" s="32">
        <v>0.96899224806201545</v>
      </c>
      <c r="CX64" s="32">
        <v>0.94955834717397436</v>
      </c>
      <c r="CY64" s="32">
        <v>0.97090909090909094</v>
      </c>
      <c r="CZ64" s="32">
        <v>0.86080586080586086</v>
      </c>
      <c r="DA64" s="32">
        <v>0.92153284671532842</v>
      </c>
      <c r="DB64" s="32">
        <v>0.92435424354243545</v>
      </c>
      <c r="DC64" s="32">
        <v>0.97117117117117113</v>
      </c>
      <c r="DD64" s="32">
        <v>0.89194139194139199</v>
      </c>
      <c r="DE64" s="32">
        <v>0.90942028985507251</v>
      </c>
      <c r="DF64" s="32">
        <v>0.92144784213433595</v>
      </c>
      <c r="DG64" s="32">
        <v>0.89433962264150946</v>
      </c>
      <c r="DH64" s="32">
        <v>0.93283582089552242</v>
      </c>
      <c r="DI64" s="32">
        <v>0.88867924528301889</v>
      </c>
      <c r="DJ64" s="32">
        <v>0.88301886792452833</v>
      </c>
      <c r="DK64" s="32">
        <v>0.9</v>
      </c>
      <c r="DL64" s="32">
        <v>0.94150943396226416</v>
      </c>
      <c r="DM64" s="32">
        <v>0.9188679245283019</v>
      </c>
      <c r="DN64" s="32">
        <v>0.90846441646216358</v>
      </c>
      <c r="DO64" s="32">
        <v>0.9</v>
      </c>
      <c r="DP64" s="32">
        <v>0.93207547169811322</v>
      </c>
      <c r="DQ64" s="32">
        <v>0.8716981132075472</v>
      </c>
      <c r="DR64" s="32">
        <v>0.89245283018867927</v>
      </c>
      <c r="DS64" s="32">
        <v>0.89811320754716983</v>
      </c>
      <c r="DT64" s="32">
        <v>0.93396226415094341</v>
      </c>
      <c r="DU64" s="32">
        <v>0.93018867924528303</v>
      </c>
      <c r="DV64" s="32">
        <v>0.90835579514824794</v>
      </c>
      <c r="DW64" s="32">
        <v>0.92452830188679247</v>
      </c>
      <c r="DX64" s="32">
        <v>0.91698113207547172</v>
      </c>
      <c r="DY64" s="32">
        <v>0.89056603773584908</v>
      </c>
      <c r="DZ64" s="32">
        <v>0.8867924528301887</v>
      </c>
      <c r="EA64" s="32">
        <v>0.9188679245283019</v>
      </c>
      <c r="EB64" s="32">
        <v>0.92830188679245285</v>
      </c>
      <c r="EC64" s="32">
        <v>0.90566037735849059</v>
      </c>
      <c r="ED64" s="32">
        <v>0.91024258760107812</v>
      </c>
      <c r="EE64" s="32">
        <v>0.92264150943396228</v>
      </c>
      <c r="EF64" s="32">
        <v>0.92830188679245285</v>
      </c>
      <c r="EG64" s="32">
        <v>0.9358490566037736</v>
      </c>
      <c r="EH64" s="32">
        <v>0.91320754716981134</v>
      </c>
      <c r="EI64" s="32">
        <v>0.9358490566037736</v>
      </c>
      <c r="EJ64" s="32">
        <v>0.94528301886792454</v>
      </c>
      <c r="EK64" s="32">
        <v>0.92205323193916355</v>
      </c>
      <c r="EL64" s="32">
        <v>0.92902647248726589</v>
      </c>
    </row>
    <row r="65" spans="38:142" x14ac:dyDescent="0.25">
      <c r="AL65" s="19" t="s">
        <v>118</v>
      </c>
      <c r="AM65" s="32">
        <v>0.99624060150375937</v>
      </c>
      <c r="AN65" s="32">
        <v>0.99624060150375937</v>
      </c>
      <c r="AO65" s="32">
        <v>0.99624060150375937</v>
      </c>
      <c r="AP65" s="32">
        <v>0.99624060150375937</v>
      </c>
      <c r="AQ65" s="32">
        <v>0.99624060150375937</v>
      </c>
      <c r="AR65" s="32">
        <v>0.99624060150375937</v>
      </c>
      <c r="AS65" s="32">
        <v>0.99624060150375937</v>
      </c>
      <c r="AT65" s="32">
        <v>0.99624060150375926</v>
      </c>
      <c r="AU65" s="32">
        <v>0.99624060150375937</v>
      </c>
      <c r="AV65" s="32">
        <v>0.99624060150375937</v>
      </c>
      <c r="AW65" s="32">
        <v>0.99624060150375937</v>
      </c>
      <c r="AX65" s="32">
        <v>0.99624060150375937</v>
      </c>
      <c r="AY65" s="32">
        <v>0.99624060150375937</v>
      </c>
      <c r="AZ65" s="32">
        <v>0.99624060150375937</v>
      </c>
      <c r="BA65" s="32">
        <v>0.99624060150375937</v>
      </c>
      <c r="BB65" s="32">
        <v>0.99624060150375926</v>
      </c>
      <c r="BC65" s="32">
        <v>0.99624060150375937</v>
      </c>
      <c r="BD65" s="32">
        <v>0.99624060150375937</v>
      </c>
      <c r="BE65" s="32">
        <v>0.99624060150375937</v>
      </c>
      <c r="BF65" s="32">
        <v>0.99624060150375937</v>
      </c>
      <c r="BG65" s="32">
        <v>0.99624060150375937</v>
      </c>
      <c r="BH65" s="32">
        <v>0.99624060150375937</v>
      </c>
      <c r="BI65" s="32">
        <v>0.99624060150375937</v>
      </c>
      <c r="BJ65" s="32">
        <v>0.99624060150375926</v>
      </c>
      <c r="BK65" s="32">
        <v>0.99624060150375937</v>
      </c>
      <c r="BL65" s="32">
        <v>0.99624060150375937</v>
      </c>
      <c r="BM65" s="32">
        <v>0.99624060150375937</v>
      </c>
      <c r="BN65" s="32">
        <v>0.99624060150375937</v>
      </c>
      <c r="BO65" s="32">
        <v>0.99624060150375937</v>
      </c>
      <c r="BP65" s="32">
        <v>0.99624060150375937</v>
      </c>
      <c r="BQ65" s="32">
        <v>0.99624060150375937</v>
      </c>
      <c r="BR65" s="32">
        <v>0.99624060150375926</v>
      </c>
      <c r="BS65" s="32">
        <v>0.99624060150375937</v>
      </c>
      <c r="BT65" s="32">
        <v>0.99624060150375937</v>
      </c>
      <c r="BU65" s="32">
        <v>0.99624060150375937</v>
      </c>
      <c r="BV65" s="32">
        <v>0.99624060150375937</v>
      </c>
      <c r="BW65" s="32">
        <v>0.99624060150375937</v>
      </c>
      <c r="BX65" s="32">
        <v>0.99624060150375937</v>
      </c>
      <c r="BY65" s="32">
        <v>0.99624060150375937</v>
      </c>
      <c r="BZ65" s="32">
        <v>0.99624060150375926</v>
      </c>
      <c r="CA65" s="32">
        <v>0.99624060150375937</v>
      </c>
      <c r="CB65" s="32">
        <v>0.99624060150375937</v>
      </c>
      <c r="CC65" s="32">
        <v>0.99624060150375937</v>
      </c>
      <c r="CD65" s="32">
        <v>0.99624060150375937</v>
      </c>
      <c r="CE65" s="32">
        <v>0.99624060150375937</v>
      </c>
      <c r="CF65" s="32">
        <v>0.99624060150375937</v>
      </c>
      <c r="CG65" s="32">
        <v>0.99624060150375937</v>
      </c>
      <c r="CH65" s="32">
        <v>0.99624060150375926</v>
      </c>
      <c r="CI65" s="32">
        <v>0.99624060150375937</v>
      </c>
      <c r="CJ65" s="32">
        <v>0.99624060150375937</v>
      </c>
      <c r="CK65" s="32">
        <v>0.99624060150375937</v>
      </c>
      <c r="CL65" s="32">
        <v>0.99624060150375937</v>
      </c>
      <c r="CM65" s="32">
        <v>0.99624060150375937</v>
      </c>
      <c r="CN65" s="32">
        <v>0.99624060150375937</v>
      </c>
      <c r="CO65" s="32">
        <v>0.99624060150375937</v>
      </c>
      <c r="CP65" s="32">
        <v>0.99624060150375926</v>
      </c>
      <c r="CQ65" s="32">
        <v>0.98966942148760328</v>
      </c>
      <c r="CR65" s="32">
        <v>0.99624060150375937</v>
      </c>
      <c r="CS65" s="32">
        <v>0.97314049586776863</v>
      </c>
      <c r="CT65" s="32">
        <v>0.96074380165289253</v>
      </c>
      <c r="CU65" s="32">
        <v>0.96257796257796258</v>
      </c>
      <c r="CV65" s="32">
        <v>0.97505197505197505</v>
      </c>
      <c r="CW65" s="32">
        <v>0.96257796257796258</v>
      </c>
      <c r="CX65" s="32">
        <v>0.97428603153141768</v>
      </c>
      <c r="CY65" s="32">
        <v>0.94628099173553715</v>
      </c>
      <c r="CZ65" s="32">
        <v>0.98340248962655596</v>
      </c>
      <c r="DA65" s="32">
        <v>0.93402061855670104</v>
      </c>
      <c r="DB65" s="32">
        <v>0.96694214876033058</v>
      </c>
      <c r="DC65" s="32">
        <v>0.96694214876033058</v>
      </c>
      <c r="DD65" s="32">
        <v>0.98347107438016534</v>
      </c>
      <c r="DE65" s="32">
        <v>0.96694214876033058</v>
      </c>
      <c r="DF65" s="32">
        <v>0.96400023151142167</v>
      </c>
      <c r="DG65" s="32">
        <v>0.95719844357976658</v>
      </c>
      <c r="DH65" s="32">
        <v>0.98973305954825463</v>
      </c>
      <c r="DI65" s="32">
        <v>0.96101364522417154</v>
      </c>
      <c r="DJ65" s="32">
        <v>0.98431372549019602</v>
      </c>
      <c r="DK65" s="32">
        <v>0.95257731958762881</v>
      </c>
      <c r="DL65" s="32">
        <v>0.98148148148148151</v>
      </c>
      <c r="DM65" s="32">
        <v>0.97950819672131151</v>
      </c>
      <c r="DN65" s="32">
        <v>0.97226083880468728</v>
      </c>
      <c r="DO65" s="32">
        <v>0.93542074363992167</v>
      </c>
      <c r="DP65" s="32">
        <v>0.97455968688845396</v>
      </c>
      <c r="DQ65" s="32">
        <v>0.93542074363992167</v>
      </c>
      <c r="DR65" s="32">
        <v>0.93542074363992167</v>
      </c>
      <c r="DS65" s="32">
        <v>0.93542074363992167</v>
      </c>
      <c r="DT65" s="32">
        <v>0.97270955165692008</v>
      </c>
      <c r="DU65" s="32">
        <v>0.94736842105263153</v>
      </c>
      <c r="DV65" s="32">
        <v>0.94804580487967027</v>
      </c>
      <c r="DW65" s="32">
        <v>0.9393346379647749</v>
      </c>
      <c r="DX65" s="32">
        <v>0.93542074363992167</v>
      </c>
      <c r="DY65" s="32">
        <v>0.95321637426900585</v>
      </c>
      <c r="DZ65" s="32">
        <v>0.96484375</v>
      </c>
      <c r="EA65" s="32">
        <v>0.93542074363992167</v>
      </c>
      <c r="EB65" s="32">
        <v>0.93542074363992167</v>
      </c>
      <c r="EC65" s="32">
        <v>0.93542074363992167</v>
      </c>
      <c r="ED65" s="32">
        <v>0.94272539097049546</v>
      </c>
      <c r="EE65" s="32">
        <v>0.90410958904109584</v>
      </c>
      <c r="EF65" s="32">
        <v>0.953307392996109</v>
      </c>
      <c r="EG65" s="32">
        <v>0.89370078740157477</v>
      </c>
      <c r="EH65" s="32">
        <v>0.92337917485265231</v>
      </c>
      <c r="EI65" s="32">
        <v>0.98245614035087714</v>
      </c>
      <c r="EJ65" s="32">
        <v>0.98828125</v>
      </c>
      <c r="EK65" s="32">
        <v>0.98245614035087714</v>
      </c>
      <c r="EL65" s="32">
        <v>0.94681292499902647</v>
      </c>
    </row>
    <row r="66" spans="38:142" x14ac:dyDescent="0.25">
      <c r="AL66" s="19" t="s">
        <v>119</v>
      </c>
      <c r="AM66" s="32">
        <v>0.95972495088408649</v>
      </c>
      <c r="AN66" s="32">
        <v>0.9696078431372549</v>
      </c>
      <c r="AO66" s="32">
        <v>0.95326192794547226</v>
      </c>
      <c r="AP66" s="32">
        <v>0.94561068702290074</v>
      </c>
      <c r="AQ66" s="32">
        <v>0.94221351616062687</v>
      </c>
      <c r="AR66" s="32">
        <v>0.96108949416342415</v>
      </c>
      <c r="AS66" s="32">
        <v>0.96224588576960313</v>
      </c>
      <c r="AT66" s="32">
        <v>0.95625061501190978</v>
      </c>
      <c r="AU66" s="32">
        <v>0.97509960159362552</v>
      </c>
      <c r="AV66" s="32">
        <v>0.96928982725527835</v>
      </c>
      <c r="AW66" s="32">
        <v>0.95369458128078821</v>
      </c>
      <c r="AX66" s="32">
        <v>0.95765158806544759</v>
      </c>
      <c r="AY66" s="32">
        <v>0.93548387096774188</v>
      </c>
      <c r="AZ66" s="32">
        <v>0.94898941289701633</v>
      </c>
      <c r="BA66" s="32">
        <v>0.9509803921568627</v>
      </c>
      <c r="BB66" s="32">
        <v>0.95588418203096581</v>
      </c>
      <c r="BC66" s="32">
        <v>0.94752186588921283</v>
      </c>
      <c r="BD66" s="32">
        <v>0.95881226053639845</v>
      </c>
      <c r="BE66" s="32">
        <v>0.94563106796116503</v>
      </c>
      <c r="BF66" s="32">
        <v>0.93792434529582924</v>
      </c>
      <c r="BG66" s="32">
        <v>0.96019417475728153</v>
      </c>
      <c r="BH66" s="32">
        <v>0.96545105566218814</v>
      </c>
      <c r="BI66" s="32">
        <v>0.9638671875</v>
      </c>
      <c r="BJ66" s="32">
        <v>0.95420027965743937</v>
      </c>
      <c r="BK66" s="32">
        <v>0.92110453648915191</v>
      </c>
      <c r="BL66" s="32">
        <v>0.91050583657587547</v>
      </c>
      <c r="BM66" s="32">
        <v>0.9404296875</v>
      </c>
      <c r="BN66" s="32">
        <v>0.96718146718146714</v>
      </c>
      <c r="BO66" s="32">
        <v>0.89920948616600793</v>
      </c>
      <c r="BP66" s="32">
        <v>0.87651821862348178</v>
      </c>
      <c r="BQ66" s="32">
        <v>0.86002014098690838</v>
      </c>
      <c r="BR66" s="32">
        <v>0.91070991050327044</v>
      </c>
      <c r="BS66" s="32">
        <v>0.93514036786060017</v>
      </c>
      <c r="BT66" s="32">
        <v>0.98561840843720039</v>
      </c>
      <c r="BU66" s="32">
        <v>0.94277400581959259</v>
      </c>
      <c r="BV66" s="32">
        <v>0.96528447444551591</v>
      </c>
      <c r="BW66" s="32">
        <v>0.96397273612463485</v>
      </c>
      <c r="BX66" s="32">
        <v>0.96116504854368934</v>
      </c>
      <c r="BY66" s="32">
        <v>0.9458413926499033</v>
      </c>
      <c r="BZ66" s="32">
        <v>0.95711377626873395</v>
      </c>
      <c r="CA66" s="32">
        <v>0.94632206759443338</v>
      </c>
      <c r="CB66" s="32">
        <v>0.97230181470869148</v>
      </c>
      <c r="CC66" s="32">
        <v>0.94311377245508987</v>
      </c>
      <c r="CD66" s="32">
        <v>0.94839337877312557</v>
      </c>
      <c r="CE66" s="32">
        <v>0.95968534906587999</v>
      </c>
      <c r="CF66" s="32">
        <v>0.97098646034816249</v>
      </c>
      <c r="CG66" s="32">
        <v>0.95546950629235239</v>
      </c>
      <c r="CH66" s="32">
        <v>0.95661033560539066</v>
      </c>
      <c r="CI66" s="32">
        <v>0.94951456310679616</v>
      </c>
      <c r="CJ66" s="32">
        <v>0.96702230843840931</v>
      </c>
      <c r="CK66" s="32">
        <v>0.94589371980676329</v>
      </c>
      <c r="CL66" s="32">
        <v>0.97403846153846152</v>
      </c>
      <c r="CM66" s="32">
        <v>0.97497593840230989</v>
      </c>
      <c r="CN66" s="32">
        <v>0.97004830917874396</v>
      </c>
      <c r="CO66" s="32">
        <v>0.96561604584527216</v>
      </c>
      <c r="CP66" s="32">
        <v>0.96387276375953668</v>
      </c>
      <c r="CQ66" s="32">
        <v>0.95038167938931295</v>
      </c>
      <c r="CR66" s="32">
        <v>0.98169556840077077</v>
      </c>
      <c r="CS66" s="32">
        <v>0.94465648854961837</v>
      </c>
      <c r="CT66" s="32">
        <v>0.97796934865900387</v>
      </c>
      <c r="CU66" s="32">
        <v>0.95769230769230773</v>
      </c>
      <c r="CV66" s="32">
        <v>0.95861405197305105</v>
      </c>
      <c r="CW66" s="32">
        <v>0.96621621621621623</v>
      </c>
      <c r="CX66" s="32">
        <v>0.96246080869718298</v>
      </c>
      <c r="CY66" s="32">
        <v>0.95546950629235239</v>
      </c>
      <c r="CZ66" s="32">
        <v>0.97703349282296648</v>
      </c>
      <c r="DA66" s="32">
        <v>0.93986420950533467</v>
      </c>
      <c r="DB66" s="32">
        <v>0.98151750972762641</v>
      </c>
      <c r="DC66" s="32">
        <v>0.98155339805825248</v>
      </c>
      <c r="DD66" s="32">
        <v>0.98087954110898656</v>
      </c>
      <c r="DE66" s="32">
        <v>0.97396335583413696</v>
      </c>
      <c r="DF66" s="32">
        <v>0.9700401447642365</v>
      </c>
      <c r="DG66" s="32">
        <v>0.92512315270935963</v>
      </c>
      <c r="DH66" s="32">
        <v>0.97284190106692536</v>
      </c>
      <c r="DI66" s="32">
        <v>0.93391642371234207</v>
      </c>
      <c r="DJ66" s="32">
        <v>0.9708454810495627</v>
      </c>
      <c r="DK66" s="32">
        <v>0.96285140562248994</v>
      </c>
      <c r="DL66" s="32">
        <v>0.9638671875</v>
      </c>
      <c r="DM66" s="32">
        <v>0.95956607495069035</v>
      </c>
      <c r="DN66" s="32">
        <v>0.95557308951591013</v>
      </c>
      <c r="DO66" s="32">
        <v>0.95180722891566261</v>
      </c>
      <c r="DP66" s="32">
        <v>0.97511961722488039</v>
      </c>
      <c r="DQ66" s="32">
        <v>0.93113772455089816</v>
      </c>
      <c r="DR66" s="32">
        <v>0.93627450980392157</v>
      </c>
      <c r="DS66" s="32">
        <v>0.96274509803921571</v>
      </c>
      <c r="DT66" s="32">
        <v>0.97478176527643068</v>
      </c>
      <c r="DU66" s="32">
        <v>0.97067448680351909</v>
      </c>
      <c r="DV66" s="32">
        <v>0.95750577580207552</v>
      </c>
      <c r="DW66" s="32">
        <v>0.89068825910931171</v>
      </c>
      <c r="DX66" s="32">
        <v>0.93918918918918914</v>
      </c>
      <c r="DY66" s="32">
        <v>0.900709219858156</v>
      </c>
      <c r="DZ66" s="32">
        <v>0.94153225806451613</v>
      </c>
      <c r="EA66" s="32">
        <v>0.92007992007992012</v>
      </c>
      <c r="EB66" s="32">
        <v>0.93450635386119252</v>
      </c>
      <c r="EC66" s="32">
        <v>0.93867457962413448</v>
      </c>
      <c r="ED66" s="32">
        <v>0.92362568282663138</v>
      </c>
      <c r="EE66" s="32">
        <v>0.95238095238095233</v>
      </c>
      <c r="EF66" s="32">
        <v>0.96392785571142281</v>
      </c>
      <c r="EG66" s="32">
        <v>0.94586614173228345</v>
      </c>
      <c r="EH66" s="32">
        <v>0.96335583413693349</v>
      </c>
      <c r="EI66" s="32">
        <v>0.97211155378486058</v>
      </c>
      <c r="EJ66" s="32">
        <v>0.97407776669990032</v>
      </c>
      <c r="EK66" s="32">
        <v>0.98198198198198194</v>
      </c>
      <c r="EL66" s="32">
        <v>0.96481458377547646</v>
      </c>
    </row>
    <row r="67" spans="38:142" x14ac:dyDescent="0.25">
      <c r="AL67" s="19" t="s">
        <v>120</v>
      </c>
      <c r="AM67" s="32">
        <v>0.91313131313131313</v>
      </c>
      <c r="AN67" s="32">
        <v>0.94747474747474747</v>
      </c>
      <c r="AO67" s="32">
        <v>0.92121212121212126</v>
      </c>
      <c r="AP67" s="32">
        <v>0.91515151515151516</v>
      </c>
      <c r="AQ67" s="32">
        <v>0.93939393939393945</v>
      </c>
      <c r="AR67" s="32">
        <v>0.95353535353535357</v>
      </c>
      <c r="AS67" s="32">
        <v>0.94545454545454544</v>
      </c>
      <c r="AT67" s="32">
        <v>0.93362193362193369</v>
      </c>
      <c r="AU67" s="32">
        <v>0.90707070707070703</v>
      </c>
      <c r="AV67" s="32">
        <v>0.9555555555555556</v>
      </c>
      <c r="AW67" s="32">
        <v>0.92323232323232318</v>
      </c>
      <c r="AX67" s="32">
        <v>0.95959595959595956</v>
      </c>
      <c r="AY67" s="32">
        <v>0.97777777777777775</v>
      </c>
      <c r="AZ67" s="32">
        <v>0.95353535353535357</v>
      </c>
      <c r="BA67" s="32">
        <v>0.96767676767676769</v>
      </c>
      <c r="BB67" s="32">
        <v>0.94920634920634916</v>
      </c>
      <c r="BC67" s="32">
        <v>0.91313131313131313</v>
      </c>
      <c r="BD67" s="32">
        <v>1</v>
      </c>
      <c r="BE67" s="32">
        <v>0.94141414141414137</v>
      </c>
      <c r="BF67" s="32">
        <v>0.96767676767676769</v>
      </c>
      <c r="BG67" s="32">
        <v>0.96969696969696972</v>
      </c>
      <c r="BH67" s="32">
        <v>0.97575757575757571</v>
      </c>
      <c r="BI67" s="32">
        <v>0.96767676767676769</v>
      </c>
      <c r="BJ67" s="32">
        <v>0.96219336219336227</v>
      </c>
      <c r="BK67" s="32">
        <v>0.92929292929292928</v>
      </c>
      <c r="BL67" s="32">
        <v>0.92525252525252522</v>
      </c>
      <c r="BM67" s="32">
        <v>0.96161616161616159</v>
      </c>
      <c r="BN67" s="32">
        <v>0.96767676767676769</v>
      </c>
      <c r="BO67" s="32">
        <v>0.90707070707070703</v>
      </c>
      <c r="BP67" s="32">
        <v>0.84040404040404038</v>
      </c>
      <c r="BQ67" s="32">
        <v>0.87474747474747472</v>
      </c>
      <c r="BR67" s="32">
        <v>0.91515151515151505</v>
      </c>
      <c r="BS67" s="32">
        <v>0.92121212121212126</v>
      </c>
      <c r="BT67" s="32">
        <v>0.96363636363636362</v>
      </c>
      <c r="BU67" s="32">
        <v>0.9434343434343434</v>
      </c>
      <c r="BV67" s="32">
        <v>0.99191919191919187</v>
      </c>
      <c r="BW67" s="32">
        <v>0.97777777777777775</v>
      </c>
      <c r="BX67" s="32">
        <v>0.94141414141414137</v>
      </c>
      <c r="BY67" s="32">
        <v>0.9555555555555556</v>
      </c>
      <c r="BZ67" s="32">
        <v>0.95642135642135628</v>
      </c>
      <c r="CA67" s="32">
        <v>0.92727272727272725</v>
      </c>
      <c r="CB67" s="32">
        <v>0.96565656565656566</v>
      </c>
      <c r="CC67" s="32">
        <v>0.94747474747474747</v>
      </c>
      <c r="CD67" s="32">
        <v>0.92323232323232318</v>
      </c>
      <c r="CE67" s="32">
        <v>0.9494949494949495</v>
      </c>
      <c r="CF67" s="32">
        <v>0.96363636363636362</v>
      </c>
      <c r="CG67" s="32">
        <v>0.99191919191919187</v>
      </c>
      <c r="CH67" s="32">
        <v>0.95266955266955267</v>
      </c>
      <c r="CI67" s="32">
        <v>0.92727272727272725</v>
      </c>
      <c r="CJ67" s="32">
        <v>0.97171717171717176</v>
      </c>
      <c r="CK67" s="32">
        <v>0.94545454545454544</v>
      </c>
      <c r="CL67" s="32">
        <v>0.95151515151515154</v>
      </c>
      <c r="CM67" s="32">
        <v>0.9939393939393939</v>
      </c>
      <c r="CN67" s="32">
        <v>0.97575757575757571</v>
      </c>
      <c r="CO67" s="32">
        <v>0.96969696969696972</v>
      </c>
      <c r="CP67" s="32">
        <v>0.96219336219336227</v>
      </c>
      <c r="CQ67" s="32">
        <v>0.93131313131313131</v>
      </c>
      <c r="CR67" s="32">
        <v>0.97979797979797978</v>
      </c>
      <c r="CS67" s="32">
        <v>0.9434343434343434</v>
      </c>
      <c r="CT67" s="32">
        <v>0.97373737373737379</v>
      </c>
      <c r="CU67" s="32">
        <v>0.97575757575757571</v>
      </c>
      <c r="CV67" s="32">
        <v>0.96767676767676769</v>
      </c>
      <c r="CW67" s="32">
        <v>0.96363636363636362</v>
      </c>
      <c r="CX67" s="32">
        <v>0.96219336219336227</v>
      </c>
      <c r="CY67" s="32">
        <v>0.93535353535353538</v>
      </c>
      <c r="CZ67" s="32">
        <v>1</v>
      </c>
      <c r="DA67" s="32">
        <v>0.9494949494949495</v>
      </c>
      <c r="DB67" s="32">
        <v>0.97777777777777775</v>
      </c>
      <c r="DC67" s="32">
        <v>0.95353535353535357</v>
      </c>
      <c r="DD67" s="32">
        <v>0.97171717171717176</v>
      </c>
      <c r="DE67" s="32">
        <v>0.9555555555555556</v>
      </c>
      <c r="DF67" s="32">
        <v>0.96334776334776329</v>
      </c>
      <c r="DG67" s="32">
        <v>0.93535353535353538</v>
      </c>
      <c r="DH67" s="32">
        <v>0.95959595959595956</v>
      </c>
      <c r="DI67" s="32">
        <v>0.95353535353535357</v>
      </c>
      <c r="DJ67" s="32">
        <v>0.93737373737373741</v>
      </c>
      <c r="DK67" s="32">
        <v>0.93535353535353538</v>
      </c>
      <c r="DL67" s="32">
        <v>0.96363636363636362</v>
      </c>
      <c r="DM67" s="32">
        <v>0.94141414141414137</v>
      </c>
      <c r="DN67" s="32">
        <v>0.94660894660894657</v>
      </c>
      <c r="DO67" s="32">
        <v>0.93333333333333335</v>
      </c>
      <c r="DP67" s="32">
        <v>0.95151515151515154</v>
      </c>
      <c r="DQ67" s="32">
        <v>0.9434343434343434</v>
      </c>
      <c r="DR67" s="32">
        <v>0.90303030303030307</v>
      </c>
      <c r="DS67" s="32">
        <v>0.92323232323232318</v>
      </c>
      <c r="DT67" s="32">
        <v>0.91919191919191923</v>
      </c>
      <c r="DU67" s="32">
        <v>0.91515151515151516</v>
      </c>
      <c r="DV67" s="32">
        <v>0.92698412698412702</v>
      </c>
      <c r="DW67" s="32">
        <v>0.93131313131313131</v>
      </c>
      <c r="DX67" s="32">
        <v>0.94747474747474747</v>
      </c>
      <c r="DY67" s="32">
        <v>0.93737373737373741</v>
      </c>
      <c r="DZ67" s="32">
        <v>0.89696969696969697</v>
      </c>
      <c r="EA67" s="32">
        <v>0.92323232323232318</v>
      </c>
      <c r="EB67" s="32">
        <v>0.95353535353535357</v>
      </c>
      <c r="EC67" s="32">
        <v>0.92929292929292928</v>
      </c>
      <c r="ED67" s="32">
        <v>0.93131313131313131</v>
      </c>
      <c r="EE67" s="32">
        <v>0.92323232323232318</v>
      </c>
      <c r="EF67" s="32">
        <v>0.92929292929292928</v>
      </c>
      <c r="EG67" s="32">
        <v>0.92727272727272725</v>
      </c>
      <c r="EH67" s="32">
        <v>0.89292929292929291</v>
      </c>
      <c r="EI67" s="32">
        <v>0.92727272727272725</v>
      </c>
      <c r="EJ67" s="32">
        <v>0.94747474747474747</v>
      </c>
      <c r="EK67" s="32">
        <v>0.92525252525252522</v>
      </c>
      <c r="EL67" s="32">
        <v>0.92467532467532465</v>
      </c>
    </row>
    <row r="68" spans="38:142" x14ac:dyDescent="0.25">
      <c r="AL68" s="19" t="s">
        <v>121</v>
      </c>
      <c r="AM68" s="32">
        <v>0.94742729306487694</v>
      </c>
      <c r="AN68" s="32">
        <v>0.97893569844789352</v>
      </c>
      <c r="AO68" s="32">
        <v>0.95195530726256983</v>
      </c>
      <c r="AP68" s="32">
        <v>0.97117516629711753</v>
      </c>
      <c r="AQ68" s="32">
        <v>0.95011086474501105</v>
      </c>
      <c r="AR68" s="32">
        <v>0.96039603960396036</v>
      </c>
      <c r="AS68" s="32">
        <v>0.97094972067039109</v>
      </c>
      <c r="AT68" s="32">
        <v>0.96156429858454573</v>
      </c>
      <c r="AU68" s="32">
        <v>0.98251366120218575</v>
      </c>
      <c r="AV68" s="32">
        <v>0.98041349292709468</v>
      </c>
      <c r="AW68" s="32">
        <v>0.95543478260869563</v>
      </c>
      <c r="AX68" s="32">
        <v>0.96746203904555317</v>
      </c>
      <c r="AY68" s="32">
        <v>0.97252747252747251</v>
      </c>
      <c r="AZ68" s="32">
        <v>0.97814207650273222</v>
      </c>
      <c r="BA68" s="32">
        <v>0.97699890470974804</v>
      </c>
      <c r="BB68" s="32">
        <v>0.97335606136049735</v>
      </c>
      <c r="BC68" s="32">
        <v>0.93480662983425411</v>
      </c>
      <c r="BD68" s="32">
        <v>0.98481561822125818</v>
      </c>
      <c r="BE68" s="32">
        <v>0.93288590604026844</v>
      </c>
      <c r="BF68" s="32">
        <v>0.93909191583610185</v>
      </c>
      <c r="BG68" s="32">
        <v>0.96460176991150437</v>
      </c>
      <c r="BH68" s="32">
        <v>0.97042716319824751</v>
      </c>
      <c r="BI68" s="32">
        <v>0.97029702970297027</v>
      </c>
      <c r="BJ68" s="32">
        <v>0.95670371896351492</v>
      </c>
      <c r="BK68" s="32">
        <v>0.91200000000000003</v>
      </c>
      <c r="BL68" s="32">
        <v>0.9296875</v>
      </c>
      <c r="BM68" s="32">
        <v>0.92204899777282856</v>
      </c>
      <c r="BN68" s="32">
        <v>0.95898004434589801</v>
      </c>
      <c r="BO68" s="32">
        <v>0.87731481481481477</v>
      </c>
      <c r="BP68" s="32">
        <v>0.82138660399529961</v>
      </c>
      <c r="BQ68" s="32">
        <v>0.84123222748815163</v>
      </c>
      <c r="BR68" s="32">
        <v>0.89466431263099899</v>
      </c>
      <c r="BS68" s="32">
        <v>0.95846994535519126</v>
      </c>
      <c r="BT68" s="32">
        <v>0.95618838992332966</v>
      </c>
      <c r="BU68" s="32">
        <v>0.96544276457883371</v>
      </c>
      <c r="BV68" s="32">
        <v>0.96544276457883371</v>
      </c>
      <c r="BW68" s="32">
        <v>0.95902547065337762</v>
      </c>
      <c r="BX68" s="32">
        <v>0.93875278396436523</v>
      </c>
      <c r="BY68" s="32">
        <v>0.95253863134657835</v>
      </c>
      <c r="BZ68" s="32">
        <v>0.95655153577150132</v>
      </c>
      <c r="CA68" s="32">
        <v>0.9543973941368078</v>
      </c>
      <c r="CB68" s="32">
        <v>0.97002141327623126</v>
      </c>
      <c r="CC68" s="32">
        <v>0.92473118279569888</v>
      </c>
      <c r="CD68" s="32">
        <v>0.93125671321160042</v>
      </c>
      <c r="CE68" s="32">
        <v>0.95922746781115875</v>
      </c>
      <c r="CF68" s="32">
        <v>0.94585987261146498</v>
      </c>
      <c r="CG68" s="32">
        <v>0.9493534482758621</v>
      </c>
      <c r="CH68" s="32">
        <v>0.94783535601697488</v>
      </c>
      <c r="CI68" s="32">
        <v>0.95162986330178756</v>
      </c>
      <c r="CJ68" s="32">
        <v>0.94479830148619959</v>
      </c>
      <c r="CK68" s="32">
        <v>0.96363636363636362</v>
      </c>
      <c r="CL68" s="32">
        <v>0.96794871794871795</v>
      </c>
      <c r="CM68" s="32">
        <v>0.95192307692307687</v>
      </c>
      <c r="CN68" s="32">
        <v>0.95717344753747324</v>
      </c>
      <c r="CO68" s="32">
        <v>0.94849785407725318</v>
      </c>
      <c r="CP68" s="32">
        <v>0.95508680355869602</v>
      </c>
      <c r="CQ68" s="32">
        <v>0.94924406047516197</v>
      </c>
      <c r="CR68" s="32">
        <v>0.96620908130939809</v>
      </c>
      <c r="CS68" s="32">
        <v>0.94319399785637725</v>
      </c>
      <c r="CT68" s="32">
        <v>0.95581896551724133</v>
      </c>
      <c r="CU68" s="32">
        <v>0.96335078534031415</v>
      </c>
      <c r="CV68" s="32">
        <v>0.95233050847457623</v>
      </c>
      <c r="CW68" s="32">
        <v>0.9452054794520548</v>
      </c>
      <c r="CX68" s="32">
        <v>0.95362183977501758</v>
      </c>
      <c r="CY68" s="32">
        <v>0.96363636363636362</v>
      </c>
      <c r="CZ68" s="32">
        <v>0.94503171247357298</v>
      </c>
      <c r="DA68" s="32">
        <v>0.95995670995671001</v>
      </c>
      <c r="DB68" s="32">
        <v>0.95969498910675377</v>
      </c>
      <c r="DC68" s="32">
        <v>0.95353748680042238</v>
      </c>
      <c r="DD68" s="32">
        <v>0.97454931071049844</v>
      </c>
      <c r="DE68" s="32">
        <v>0.97860962566844922</v>
      </c>
      <c r="DF68" s="32">
        <v>0.96214517119325293</v>
      </c>
      <c r="DG68" s="32">
        <v>0.96039603960396036</v>
      </c>
      <c r="DH68" s="32">
        <v>0.98827292110874199</v>
      </c>
      <c r="DI68" s="32">
        <v>0.94420131291028442</v>
      </c>
      <c r="DJ68" s="32">
        <v>0.96854663774403471</v>
      </c>
      <c r="DK68" s="32">
        <v>0.94559303590859634</v>
      </c>
      <c r="DL68" s="32">
        <v>0.96386822529224225</v>
      </c>
      <c r="DM68" s="32">
        <v>0.96728462377317337</v>
      </c>
      <c r="DN68" s="32">
        <v>0.9625946851915762</v>
      </c>
      <c r="DO68" s="32">
        <v>0.94438264738598443</v>
      </c>
      <c r="DP68" s="32">
        <v>0.9740540540540541</v>
      </c>
      <c r="DQ68" s="32">
        <v>0.9336283185840708</v>
      </c>
      <c r="DR68" s="32">
        <v>0.96816684961580679</v>
      </c>
      <c r="DS68" s="32">
        <v>0.9636963696369637</v>
      </c>
      <c r="DT68" s="32">
        <v>0.93092105263157898</v>
      </c>
      <c r="DU68" s="32">
        <v>0.95286195286195285</v>
      </c>
      <c r="DV68" s="32">
        <v>0.95253017782434435</v>
      </c>
      <c r="DW68" s="32">
        <v>0.97555555555555551</v>
      </c>
      <c r="DX68" s="32">
        <v>0.96746203904555317</v>
      </c>
      <c r="DY68" s="32">
        <v>0.94736842105263153</v>
      </c>
      <c r="DZ68" s="32">
        <v>0.95550611790878759</v>
      </c>
      <c r="EA68" s="32">
        <v>0.97377049180327868</v>
      </c>
      <c r="EB68" s="32">
        <v>0.96320346320346317</v>
      </c>
      <c r="EC68" s="32">
        <v>0.94627192982456143</v>
      </c>
      <c r="ED68" s="32">
        <v>0.96130543119911882</v>
      </c>
      <c r="EE68" s="32">
        <v>0.93743139407244791</v>
      </c>
      <c r="EF68" s="32">
        <v>0.9694989106753813</v>
      </c>
      <c r="EG68" s="32">
        <v>0.93392070484581502</v>
      </c>
      <c r="EH68" s="32">
        <v>0.95206971677559915</v>
      </c>
      <c r="EI68" s="32">
        <v>0.94194961664841181</v>
      </c>
      <c r="EJ68" s="32">
        <v>0.96851248642779586</v>
      </c>
      <c r="EK68" s="32">
        <v>0.94701986754966883</v>
      </c>
      <c r="EL68" s="32">
        <v>0.95005752814215982</v>
      </c>
    </row>
    <row r="69" spans="38:142" x14ac:dyDescent="0.25">
      <c r="AL69" s="19" t="s">
        <v>122</v>
      </c>
      <c r="AM69" s="32">
        <v>0.97474167623421359</v>
      </c>
      <c r="AN69" s="32">
        <v>0.98527746319365794</v>
      </c>
      <c r="AO69" s="32">
        <v>0.98969072164948457</v>
      </c>
      <c r="AP69" s="32">
        <v>0.97722095671981779</v>
      </c>
      <c r="AQ69" s="32">
        <v>0.98399999999999999</v>
      </c>
      <c r="AR69" s="32">
        <v>0.98177676537585423</v>
      </c>
      <c r="AS69" s="32">
        <v>0.98974943052391795</v>
      </c>
      <c r="AT69" s="32">
        <v>0.98320814481384944</v>
      </c>
      <c r="AU69" s="32">
        <v>0.96304849884526555</v>
      </c>
      <c r="AV69" s="32">
        <v>0.97152619589977218</v>
      </c>
      <c r="AW69" s="32">
        <v>0.99769053117782913</v>
      </c>
      <c r="AX69" s="32">
        <v>0.9886877828054299</v>
      </c>
      <c r="AY69" s="32">
        <v>0.9807037457434733</v>
      </c>
      <c r="AZ69" s="32">
        <v>0.98524404086265605</v>
      </c>
      <c r="BA69" s="32">
        <v>0.98750000000000004</v>
      </c>
      <c r="BB69" s="32">
        <v>0.98205725647634645</v>
      </c>
      <c r="BC69" s="32">
        <v>0.97035347776510827</v>
      </c>
      <c r="BD69" s="32">
        <v>0.98305084745762716</v>
      </c>
      <c r="BE69" s="32">
        <v>0.96935300794551649</v>
      </c>
      <c r="BF69" s="32">
        <v>0.98984198645598198</v>
      </c>
      <c r="BG69" s="32">
        <v>0.97833523375142528</v>
      </c>
      <c r="BH69" s="32">
        <v>0.97635135135135132</v>
      </c>
      <c r="BI69" s="32">
        <v>0.98072562358276649</v>
      </c>
      <c r="BJ69" s="32">
        <v>0.97828736118711102</v>
      </c>
      <c r="BK69" s="32">
        <v>0.98267898383371821</v>
      </c>
      <c r="BL69" s="32">
        <v>0.97840909090909089</v>
      </c>
      <c r="BM69" s="32">
        <v>0.98614318706697457</v>
      </c>
      <c r="BN69" s="32">
        <v>0.9919168591224018</v>
      </c>
      <c r="BO69" s="32">
        <v>0.96555683122847302</v>
      </c>
      <c r="BP69" s="32">
        <v>0.90069284064665123</v>
      </c>
      <c r="BQ69" s="32">
        <v>0.93187066974595845</v>
      </c>
      <c r="BR69" s="32">
        <v>0.96246692322189542</v>
      </c>
      <c r="BS69" s="32">
        <v>0.97835990888382685</v>
      </c>
      <c r="BT69" s="32">
        <v>0.9843225083986562</v>
      </c>
      <c r="BU69" s="32">
        <v>1</v>
      </c>
      <c r="BV69" s="32">
        <v>0.99229074889867841</v>
      </c>
      <c r="BW69" s="32">
        <v>0.99219620958751398</v>
      </c>
      <c r="BX69" s="32">
        <v>0.97113163972286376</v>
      </c>
      <c r="BY69" s="32">
        <v>0.98637911464245176</v>
      </c>
      <c r="BZ69" s="32">
        <v>0.9863828757334272</v>
      </c>
      <c r="CA69" s="32">
        <v>0.97175141242937857</v>
      </c>
      <c r="CB69" s="32">
        <v>0.99451754385964908</v>
      </c>
      <c r="CC69" s="32">
        <v>0.98416289592760176</v>
      </c>
      <c r="CD69" s="32">
        <v>0.98637911464245176</v>
      </c>
      <c r="CE69" s="32">
        <v>0.98565121412803536</v>
      </c>
      <c r="CF69" s="32">
        <v>0.98791208791208796</v>
      </c>
      <c r="CG69" s="32">
        <v>0.99012074643249182</v>
      </c>
      <c r="CH69" s="32">
        <v>0.98578500219024245</v>
      </c>
      <c r="CI69" s="32">
        <v>0.97821100917431192</v>
      </c>
      <c r="CJ69" s="32">
        <v>0.98527746319365794</v>
      </c>
      <c r="CK69" s="32">
        <v>0.95068807339449546</v>
      </c>
      <c r="CL69" s="32">
        <v>0.99307958477508651</v>
      </c>
      <c r="CM69" s="32">
        <v>0.98522727272727273</v>
      </c>
      <c r="CN69" s="32">
        <v>0.98663697104677062</v>
      </c>
      <c r="CO69" s="32">
        <v>0.98750000000000004</v>
      </c>
      <c r="CP69" s="32">
        <v>0.98094576775879927</v>
      </c>
      <c r="CQ69" s="32">
        <v>0.97499999999999998</v>
      </c>
      <c r="CR69" s="32">
        <v>0.99320498301245752</v>
      </c>
      <c r="CS69" s="32">
        <v>0.98392652123995405</v>
      </c>
      <c r="CT69" s="32">
        <v>0.98864926220204308</v>
      </c>
      <c r="CU69" s="32">
        <v>0.98981900452488691</v>
      </c>
      <c r="CV69" s="32">
        <v>0.98981900452488691</v>
      </c>
      <c r="CW69" s="32">
        <v>0.97945205479452058</v>
      </c>
      <c r="CX69" s="32">
        <v>0.9856958328998211</v>
      </c>
      <c r="CY69" s="32">
        <v>0.97421524663677128</v>
      </c>
      <c r="CZ69" s="32">
        <v>0.98666666666666669</v>
      </c>
      <c r="DA69" s="32">
        <v>0.98079096045197744</v>
      </c>
      <c r="DB69" s="32">
        <v>0.98875140607424072</v>
      </c>
      <c r="DC69" s="32">
        <v>0.99226519337016572</v>
      </c>
      <c r="DD69" s="32">
        <v>0.97266514806378135</v>
      </c>
      <c r="DE69" s="32">
        <v>0.99550056242969631</v>
      </c>
      <c r="DF69" s="32">
        <v>0.98440788338475715</v>
      </c>
      <c r="DG69" s="32">
        <v>0.96009122006841507</v>
      </c>
      <c r="DH69" s="32">
        <v>0.99015317286652083</v>
      </c>
      <c r="DI69" s="32">
        <v>0.97139588100686503</v>
      </c>
      <c r="DJ69" s="32">
        <v>0.97850678733031671</v>
      </c>
      <c r="DK69" s="32">
        <v>0.98202247191011238</v>
      </c>
      <c r="DL69" s="32">
        <v>0.99889012208657046</v>
      </c>
      <c r="DM69" s="32">
        <v>0.98681318681318686</v>
      </c>
      <c r="DN69" s="32">
        <v>0.98112469172599825</v>
      </c>
      <c r="DO69" s="32">
        <v>0.98886414253897548</v>
      </c>
      <c r="DP69" s="32">
        <v>0.99119911991199117</v>
      </c>
      <c r="DQ69" s="32">
        <v>0.98987626546681662</v>
      </c>
      <c r="DR69" s="32">
        <v>0.98779134295227522</v>
      </c>
      <c r="DS69" s="32">
        <v>0.9988962472406181</v>
      </c>
      <c r="DT69" s="32">
        <v>0.99563318777292575</v>
      </c>
      <c r="DU69" s="32">
        <v>0.99779735682819382</v>
      </c>
      <c r="DV69" s="32">
        <v>0.99286538038739958</v>
      </c>
      <c r="DW69" s="32">
        <v>0.98498845265588919</v>
      </c>
      <c r="DX69" s="32">
        <v>0.98089887640449436</v>
      </c>
      <c r="DY69" s="32">
        <v>0.95537757437070936</v>
      </c>
      <c r="DZ69" s="32">
        <v>0.98410896708286033</v>
      </c>
      <c r="EA69" s="32">
        <v>0.9866071428571429</v>
      </c>
      <c r="EB69" s="32">
        <v>0.978675645342312</v>
      </c>
      <c r="EC69" s="32">
        <v>0.99209932279909707</v>
      </c>
      <c r="ED69" s="32">
        <v>0.98039371164464362</v>
      </c>
      <c r="EE69" s="32">
        <v>0.97970687711386695</v>
      </c>
      <c r="EF69" s="32">
        <v>0.9876681614349776</v>
      </c>
      <c r="EG69" s="32">
        <v>0.98527746319365794</v>
      </c>
      <c r="EH69" s="32">
        <v>0.99445061043285243</v>
      </c>
      <c r="EI69" s="32">
        <v>0.99328107502799556</v>
      </c>
      <c r="EJ69" s="32">
        <v>0.99104143337066064</v>
      </c>
      <c r="EK69" s="32">
        <v>0.99217877094972062</v>
      </c>
      <c r="EL69" s="32">
        <v>0.98908634164624742</v>
      </c>
    </row>
    <row r="70" spans="38:142" x14ac:dyDescent="0.25">
      <c r="AL70" s="19" t="s">
        <v>327</v>
      </c>
      <c r="AM70" s="32">
        <v>0.98122866894197958</v>
      </c>
      <c r="AN70" s="32">
        <v>0.97</v>
      </c>
      <c r="AO70" s="32">
        <v>0.96563011456628478</v>
      </c>
      <c r="AP70" s="32">
        <v>0.96314102564102566</v>
      </c>
      <c r="AQ70" s="32">
        <v>0.97297297297297303</v>
      </c>
      <c r="AR70" s="32">
        <v>0.96147403685092125</v>
      </c>
      <c r="AS70" s="32">
        <v>0.97836938435940102</v>
      </c>
      <c r="AT70" s="32">
        <v>0.97040231476179795</v>
      </c>
      <c r="AU70" s="32">
        <v>0.90774299835255357</v>
      </c>
      <c r="AV70" s="32">
        <v>0.97427652733118975</v>
      </c>
      <c r="AW70" s="32">
        <v>0.90507364975450078</v>
      </c>
      <c r="AX70" s="32">
        <v>0.9285714285714286</v>
      </c>
      <c r="AY70" s="32">
        <v>0.96302250803858525</v>
      </c>
      <c r="AZ70" s="32">
        <v>0.96784565916398713</v>
      </c>
      <c r="BA70" s="32">
        <v>0.96945337620578775</v>
      </c>
      <c r="BB70" s="32">
        <v>0.94514087820257608</v>
      </c>
      <c r="BC70" s="32">
        <v>0.94178082191780821</v>
      </c>
      <c r="BD70" s="32">
        <v>0.94290375203915167</v>
      </c>
      <c r="BE70" s="32">
        <v>0.95025728987993141</v>
      </c>
      <c r="BF70" s="32">
        <v>0.96551724137931039</v>
      </c>
      <c r="BG70" s="32">
        <v>0.9519725557461407</v>
      </c>
      <c r="BH70" s="32">
        <v>0.95777027027027029</v>
      </c>
      <c r="BI70" s="32">
        <v>0.95593220338983054</v>
      </c>
      <c r="BJ70" s="32">
        <v>0.95230487637463479</v>
      </c>
      <c r="BK70" s="32">
        <v>0.94938917975567194</v>
      </c>
      <c r="BL70" s="32">
        <v>0.94548551959114135</v>
      </c>
      <c r="BM70" s="32">
        <v>0.98129251700680276</v>
      </c>
      <c r="BN70" s="32">
        <v>0.95939086294416243</v>
      </c>
      <c r="BO70" s="32">
        <v>0.96020761245674735</v>
      </c>
      <c r="BP70" s="32">
        <v>0.85139860139860135</v>
      </c>
      <c r="BQ70" s="32">
        <v>0.92198581560283688</v>
      </c>
      <c r="BR70" s="32">
        <v>0.93845001553656626</v>
      </c>
      <c r="BS70" s="32">
        <v>0.93236714975845414</v>
      </c>
      <c r="BT70" s="32">
        <v>0.96135265700483097</v>
      </c>
      <c r="BU70" s="32">
        <v>0.96607431340872374</v>
      </c>
      <c r="BV70" s="32">
        <v>0.94545454545454544</v>
      </c>
      <c r="BW70" s="32">
        <v>0.93627450980392157</v>
      </c>
      <c r="BX70" s="32">
        <v>0.90701468189233281</v>
      </c>
      <c r="BY70" s="32">
        <v>0.92207792207792205</v>
      </c>
      <c r="BZ70" s="32">
        <v>0.93865939705724721</v>
      </c>
      <c r="CA70" s="32">
        <v>0.91085899513776336</v>
      </c>
      <c r="CB70" s="32">
        <v>0.94847020933977455</v>
      </c>
      <c r="CC70" s="32">
        <v>0.91787439613526567</v>
      </c>
      <c r="CD70" s="32">
        <v>0.95469255663430419</v>
      </c>
      <c r="CE70" s="32">
        <v>0.95623987034035651</v>
      </c>
      <c r="CF70" s="32">
        <v>0.93042071197411003</v>
      </c>
      <c r="CG70" s="32">
        <v>0.93053311793214866</v>
      </c>
      <c r="CH70" s="32">
        <v>0.93558426535624606</v>
      </c>
      <c r="CI70" s="32">
        <v>0.94489465153970831</v>
      </c>
      <c r="CJ70" s="32">
        <v>0.94668820678513732</v>
      </c>
      <c r="CK70" s="32">
        <v>0.95114006514657978</v>
      </c>
      <c r="CL70" s="32">
        <v>0.94174757281553401</v>
      </c>
      <c r="CM70" s="32">
        <v>0.95307443365695788</v>
      </c>
      <c r="CN70" s="32">
        <v>0.95491143317230276</v>
      </c>
      <c r="CO70" s="32">
        <v>0.96166134185303509</v>
      </c>
      <c r="CP70" s="32">
        <v>0.95058824356703653</v>
      </c>
      <c r="CQ70" s="32">
        <v>0.9373996789727127</v>
      </c>
      <c r="CR70" s="32">
        <v>0.95813204508856686</v>
      </c>
      <c r="CS70" s="32">
        <v>0.95016077170418012</v>
      </c>
      <c r="CT70" s="32">
        <v>0.94879999999999998</v>
      </c>
      <c r="CU70" s="32">
        <v>0.94146341463414629</v>
      </c>
      <c r="CV70" s="32">
        <v>0.94533762057877813</v>
      </c>
      <c r="CW70" s="32">
        <v>0.95315024232633283</v>
      </c>
      <c r="CX70" s="32">
        <v>0.9477776819006738</v>
      </c>
      <c r="CY70" s="32">
        <v>0.93075684380032209</v>
      </c>
      <c r="CZ70" s="32">
        <v>0.95686900958466459</v>
      </c>
      <c r="DA70" s="32">
        <v>0.92431561996779388</v>
      </c>
      <c r="DB70" s="32">
        <v>0.92628205128205132</v>
      </c>
      <c r="DC70" s="32">
        <v>0.9341894060995185</v>
      </c>
      <c r="DD70" s="32">
        <v>0.9357945425361156</v>
      </c>
      <c r="DE70" s="32">
        <v>0.93890675241157562</v>
      </c>
      <c r="DF70" s="32">
        <v>0.93530203224029163</v>
      </c>
      <c r="DG70" s="32">
        <v>0.89743589743589747</v>
      </c>
      <c r="DH70" s="32">
        <v>0.954983922829582</v>
      </c>
      <c r="DI70" s="32">
        <v>0.90032154340836013</v>
      </c>
      <c r="DJ70" s="32">
        <v>0.95322580645161292</v>
      </c>
      <c r="DK70" s="32">
        <v>0.91948470209339772</v>
      </c>
      <c r="DL70" s="32">
        <v>0.92307692307692313</v>
      </c>
      <c r="DM70" s="32">
        <v>0.92598684210526316</v>
      </c>
      <c r="DN70" s="32">
        <v>0.9249308053430052</v>
      </c>
      <c r="DO70" s="32">
        <v>0.95261437908496727</v>
      </c>
      <c r="DP70" s="32">
        <v>0.95192307692307687</v>
      </c>
      <c r="DQ70" s="32">
        <v>0.9614767255216693</v>
      </c>
      <c r="DR70" s="32">
        <v>0.95016077170418012</v>
      </c>
      <c r="DS70" s="32">
        <v>0.96116504854368934</v>
      </c>
      <c r="DT70" s="32">
        <v>0.96935483870967742</v>
      </c>
      <c r="DU70" s="32">
        <v>0.9375</v>
      </c>
      <c r="DV70" s="32">
        <v>0.95488497721246579</v>
      </c>
      <c r="DW70" s="32">
        <v>0.92109500805152977</v>
      </c>
      <c r="DX70" s="32">
        <v>0.96474358974358976</v>
      </c>
      <c r="DY70" s="32">
        <v>0.91585760517799353</v>
      </c>
      <c r="DZ70" s="32">
        <v>0.95679999999999998</v>
      </c>
      <c r="EA70" s="32">
        <v>0.9419354838709677</v>
      </c>
      <c r="EB70" s="32">
        <v>0.96278317152103565</v>
      </c>
      <c r="EC70" s="32">
        <v>0.94202898550724634</v>
      </c>
      <c r="ED70" s="32">
        <v>0.9436062634103376</v>
      </c>
      <c r="EE70" s="32">
        <v>0.93080724876441512</v>
      </c>
      <c r="EF70" s="32">
        <v>0.95534290271132372</v>
      </c>
      <c r="EG70" s="32">
        <v>0.90806451612903227</v>
      </c>
      <c r="EH70" s="32">
        <v>0.95114006514657978</v>
      </c>
      <c r="EI70" s="32">
        <v>0.93668831168831168</v>
      </c>
      <c r="EJ70" s="32">
        <v>0.92822185970636217</v>
      </c>
      <c r="EK70" s="32">
        <v>0.93365695792880254</v>
      </c>
      <c r="EL70" s="32">
        <v>0.93484598029640398</v>
      </c>
    </row>
    <row r="71" spans="38:142" x14ac:dyDescent="0.25">
      <c r="AL71" s="19" t="s">
        <v>123</v>
      </c>
      <c r="AM71" s="32">
        <v>0.98987854251012142</v>
      </c>
      <c r="AN71" s="32">
        <v>0.96868475991649272</v>
      </c>
      <c r="AO71" s="32">
        <v>0.99797570850202433</v>
      </c>
      <c r="AP71" s="32">
        <v>0.99001996007984028</v>
      </c>
      <c r="AQ71" s="32">
        <v>0.98760330578512401</v>
      </c>
      <c r="AR71" s="32">
        <v>1</v>
      </c>
      <c r="AS71" s="32">
        <v>0.99793814432989691</v>
      </c>
      <c r="AT71" s="32">
        <v>0.99030006016049998</v>
      </c>
      <c r="AU71" s="32">
        <v>0.96808510638297873</v>
      </c>
      <c r="AV71" s="32">
        <v>0.97995545657015593</v>
      </c>
      <c r="AW71" s="32">
        <v>1</v>
      </c>
      <c r="AX71" s="32">
        <v>0.9726315789473684</v>
      </c>
      <c r="AY71" s="32">
        <v>0.97499999999999998</v>
      </c>
      <c r="AZ71" s="32">
        <v>0.97064989517819711</v>
      </c>
      <c r="BA71" s="32">
        <v>0.98962655601659755</v>
      </c>
      <c r="BB71" s="32">
        <v>0.97942122758504246</v>
      </c>
      <c r="BC71" s="32">
        <v>0.96375266524520253</v>
      </c>
      <c r="BD71" s="32">
        <v>0.97341513292433535</v>
      </c>
      <c r="BE71" s="32">
        <v>0.92087912087912083</v>
      </c>
      <c r="BF71" s="32">
        <v>0.92325056433408581</v>
      </c>
      <c r="BG71" s="32">
        <v>0.95680345572354208</v>
      </c>
      <c r="BH71" s="32">
        <v>1</v>
      </c>
      <c r="BI71" s="32">
        <v>0.97435897435897434</v>
      </c>
      <c r="BJ71" s="32">
        <v>0.95892284478075163</v>
      </c>
      <c r="BK71" s="32">
        <v>0.94922737306843263</v>
      </c>
      <c r="BL71" s="32">
        <v>0.94565217391304346</v>
      </c>
      <c r="BM71" s="32">
        <v>0.95485327313769752</v>
      </c>
      <c r="BN71" s="32">
        <v>0.97113402061855669</v>
      </c>
      <c r="BO71" s="32">
        <v>0.86098654708520184</v>
      </c>
      <c r="BP71" s="32">
        <v>0.91647855530474043</v>
      </c>
      <c r="BQ71" s="32">
        <v>0.88766519823788548</v>
      </c>
      <c r="BR71" s="32">
        <v>0.92657102019507964</v>
      </c>
      <c r="BS71" s="32">
        <v>1</v>
      </c>
      <c r="BT71" s="32">
        <v>0.96787148594377514</v>
      </c>
      <c r="BU71" s="32">
        <v>0.95696721311475408</v>
      </c>
      <c r="BV71" s="32">
        <v>0.967741935483871</v>
      </c>
      <c r="BW71" s="32">
        <v>0.97083333333333333</v>
      </c>
      <c r="BX71" s="32">
        <v>0.97384305835010065</v>
      </c>
      <c r="BY71" s="32">
        <v>0.94155844155844159</v>
      </c>
      <c r="BZ71" s="32">
        <v>0.96840220968346802</v>
      </c>
      <c r="CA71" s="32">
        <v>0.94918699186991873</v>
      </c>
      <c r="CB71" s="32">
        <v>0.96378269617706236</v>
      </c>
      <c r="CC71" s="32">
        <v>0.94918699186991873</v>
      </c>
      <c r="CD71" s="32">
        <v>0.95151515151515154</v>
      </c>
      <c r="CE71" s="32">
        <v>0.94918699186991873</v>
      </c>
      <c r="CF71" s="32">
        <v>0.96449704142011838</v>
      </c>
      <c r="CG71" s="32">
        <v>0.96551724137931039</v>
      </c>
      <c r="CH71" s="32">
        <v>0.95612472944305693</v>
      </c>
      <c r="CI71" s="32">
        <v>0.94650205761316875</v>
      </c>
      <c r="CJ71" s="32">
        <v>0.98217821782178216</v>
      </c>
      <c r="CK71" s="32">
        <v>0.9543568464730291</v>
      </c>
      <c r="CL71" s="32">
        <v>0.94363256784968685</v>
      </c>
      <c r="CM71" s="32">
        <v>0.93852459016393441</v>
      </c>
      <c r="CN71" s="32">
        <v>0.96463654223968565</v>
      </c>
      <c r="CO71" s="32">
        <v>0.94799999999999995</v>
      </c>
      <c r="CP71" s="32">
        <v>0.9539758317373267</v>
      </c>
      <c r="CQ71" s="32">
        <v>0.99582463465553239</v>
      </c>
      <c r="CR71" s="32">
        <v>0.91786447638603696</v>
      </c>
      <c r="CS71" s="32">
        <v>0.99373695198329859</v>
      </c>
      <c r="CT71" s="32">
        <v>0.94989561586638827</v>
      </c>
      <c r="CU71" s="32">
        <v>0.95606694560669458</v>
      </c>
      <c r="CV71" s="32">
        <v>0.96945010183299385</v>
      </c>
      <c r="CW71" s="32">
        <v>0.94255319148936167</v>
      </c>
      <c r="CX71" s="32">
        <v>0.96077027397432935</v>
      </c>
      <c r="CY71" s="32">
        <v>0.96721311475409832</v>
      </c>
      <c r="CZ71" s="32">
        <v>0.95463917525773201</v>
      </c>
      <c r="DA71" s="32">
        <v>0.95735607675906187</v>
      </c>
      <c r="DB71" s="32">
        <v>0.95286885245901642</v>
      </c>
      <c r="DC71" s="32">
        <v>0.95491803278688525</v>
      </c>
      <c r="DD71" s="32">
        <v>0.96551724137931039</v>
      </c>
      <c r="DE71" s="32">
        <v>0.96</v>
      </c>
      <c r="DF71" s="32">
        <v>0.95893035619944356</v>
      </c>
      <c r="DG71" s="32">
        <v>0.94444444444444442</v>
      </c>
      <c r="DH71" s="32">
        <v>0.96767676767676769</v>
      </c>
      <c r="DI71" s="32">
        <v>0.95137420718816068</v>
      </c>
      <c r="DJ71" s="32">
        <v>0.95218295218295224</v>
      </c>
      <c r="DK71" s="32">
        <v>0.9412955465587044</v>
      </c>
      <c r="DL71" s="32">
        <v>0.95967741935483875</v>
      </c>
      <c r="DM71" s="32">
        <v>0.96780684104627768</v>
      </c>
      <c r="DN71" s="32">
        <v>0.95492259692173509</v>
      </c>
      <c r="DO71" s="32">
        <v>0.98101265822784811</v>
      </c>
      <c r="DP71" s="32">
        <v>0.96218487394957986</v>
      </c>
      <c r="DQ71" s="32">
        <v>0.98101265822784811</v>
      </c>
      <c r="DR71" s="32">
        <v>0.96265560165975106</v>
      </c>
      <c r="DS71" s="32">
        <v>0.96326530612244898</v>
      </c>
      <c r="DT71" s="32">
        <v>0.96523517382413093</v>
      </c>
      <c r="DU71" s="32">
        <v>0.94959677419354838</v>
      </c>
      <c r="DV71" s="32">
        <v>0.96642329231502211</v>
      </c>
      <c r="DW71" s="32">
        <v>0.98357289527720737</v>
      </c>
      <c r="DX71" s="32">
        <v>0.97107438016528924</v>
      </c>
      <c r="DY71" s="32">
        <v>0.95168067226890751</v>
      </c>
      <c r="DZ71" s="32">
        <v>0.96487603305785119</v>
      </c>
      <c r="EA71" s="32">
        <v>0.95850622406639008</v>
      </c>
      <c r="EB71" s="32">
        <v>0.94421487603305787</v>
      </c>
      <c r="EC71" s="32">
        <v>0.95652173913043481</v>
      </c>
      <c r="ED71" s="32">
        <v>0.96149240285701965</v>
      </c>
      <c r="EE71" s="32">
        <v>0.96926229508196726</v>
      </c>
      <c r="EF71" s="32">
        <v>0.9711934156378601</v>
      </c>
      <c r="EG71" s="32">
        <v>0.96926229508196726</v>
      </c>
      <c r="EH71" s="32">
        <v>0.94444444444444442</v>
      </c>
      <c r="EI71" s="32">
        <v>0.96721311475409832</v>
      </c>
      <c r="EJ71" s="32">
        <v>0.96945010183299385</v>
      </c>
      <c r="EK71" s="32">
        <v>0.96122448979591835</v>
      </c>
      <c r="EL71" s="32">
        <v>0.96457859380417854</v>
      </c>
    </row>
    <row r="72" spans="38:142" x14ac:dyDescent="0.25">
      <c r="AL72" s="19" t="s">
        <v>124</v>
      </c>
      <c r="AM72" s="32">
        <v>0.87079646017699119</v>
      </c>
      <c r="AN72" s="32">
        <v>0.97864768683274017</v>
      </c>
      <c r="AO72" s="32">
        <v>0.85309734513274338</v>
      </c>
      <c r="AP72" s="32">
        <v>0.91181657848324515</v>
      </c>
      <c r="AQ72" s="32">
        <v>0.87456445993031362</v>
      </c>
      <c r="AR72" s="32">
        <v>0.97058823529411764</v>
      </c>
      <c r="AS72" s="32">
        <v>0.965034965034965</v>
      </c>
      <c r="AT72" s="32">
        <v>0.91779224726930242</v>
      </c>
      <c r="AU72" s="32">
        <v>0.91858407079646021</v>
      </c>
      <c r="AV72" s="32">
        <v>0.92743362831858411</v>
      </c>
      <c r="AW72" s="32">
        <v>0.92021276595744683</v>
      </c>
      <c r="AX72" s="32">
        <v>0.93650793650793651</v>
      </c>
      <c r="AY72" s="32">
        <v>0.95204262877442269</v>
      </c>
      <c r="AZ72" s="32">
        <v>0.92553191489361697</v>
      </c>
      <c r="BA72" s="32">
        <v>0.9398230088495575</v>
      </c>
      <c r="BB72" s="32">
        <v>0.93144799344257501</v>
      </c>
      <c r="BC72" s="32">
        <v>0.87256637168141593</v>
      </c>
      <c r="BD72" s="32">
        <v>0.95907473309608537</v>
      </c>
      <c r="BE72" s="32">
        <v>0.86799276672694392</v>
      </c>
      <c r="BF72" s="32">
        <v>0.88948306595365423</v>
      </c>
      <c r="BG72" s="32">
        <v>0.93133802816901412</v>
      </c>
      <c r="BH72" s="32">
        <v>0.95759717314487636</v>
      </c>
      <c r="BI72" s="32">
        <v>0.95104895104895104</v>
      </c>
      <c r="BJ72" s="32">
        <v>0.91844301283156304</v>
      </c>
      <c r="BK72" s="32">
        <v>0.85509838998211096</v>
      </c>
      <c r="BL72" s="32">
        <v>0.85740402193784282</v>
      </c>
      <c r="BM72" s="32">
        <v>0.88623853211009174</v>
      </c>
      <c r="BN72" s="32">
        <v>0.92167577413479052</v>
      </c>
      <c r="BO72" s="32">
        <v>0.79558011049723754</v>
      </c>
      <c r="BP72" s="32">
        <v>0.7186932849364791</v>
      </c>
      <c r="BQ72" s="32">
        <v>0.7229357798165138</v>
      </c>
      <c r="BR72" s="32">
        <v>0.82251798477358107</v>
      </c>
      <c r="BS72" s="32">
        <v>0.90744101633393826</v>
      </c>
      <c r="BT72" s="32">
        <v>0.92883211678832112</v>
      </c>
      <c r="BU72" s="32">
        <v>0.9296028880866426</v>
      </c>
      <c r="BV72" s="32">
        <v>0.9375</v>
      </c>
      <c r="BW72" s="32">
        <v>0.95272727272727276</v>
      </c>
      <c r="BX72" s="32">
        <v>0.91074681238615662</v>
      </c>
      <c r="BY72" s="32">
        <v>0.93053016453382087</v>
      </c>
      <c r="BZ72" s="32">
        <v>0.92819718155087894</v>
      </c>
      <c r="CA72" s="32">
        <v>0.89734513274336281</v>
      </c>
      <c r="CB72" s="32">
        <v>0.95964912280701753</v>
      </c>
      <c r="CC72" s="32">
        <v>0.89241622574955903</v>
      </c>
      <c r="CD72" s="32">
        <v>0.90123456790123457</v>
      </c>
      <c r="CE72" s="32">
        <v>0.92456140350877192</v>
      </c>
      <c r="CF72" s="32">
        <v>0.94532627865961194</v>
      </c>
      <c r="CG72" s="32">
        <v>0.93859649122807021</v>
      </c>
      <c r="CH72" s="32">
        <v>0.92273274608537548</v>
      </c>
      <c r="CI72" s="32">
        <v>0.91373239436619713</v>
      </c>
      <c r="CJ72" s="32">
        <v>0.94107142857142856</v>
      </c>
      <c r="CK72" s="32">
        <v>0.88966725043782835</v>
      </c>
      <c r="CL72" s="32">
        <v>0.88596491228070173</v>
      </c>
      <c r="CM72" s="32">
        <v>0.95155709342560557</v>
      </c>
      <c r="CN72" s="32">
        <v>0.97012302284710017</v>
      </c>
      <c r="CO72" s="32">
        <v>0.95971978984238182</v>
      </c>
      <c r="CP72" s="32">
        <v>0.93026227025303487</v>
      </c>
      <c r="CQ72" s="32">
        <v>0.85968028419182951</v>
      </c>
      <c r="CR72" s="32">
        <v>0.92063492063492058</v>
      </c>
      <c r="CS72" s="32">
        <v>0.83362831858407083</v>
      </c>
      <c r="CT72" s="32">
        <v>0.87234042553191493</v>
      </c>
      <c r="CU72" s="32">
        <v>0.87147887323943662</v>
      </c>
      <c r="CV72" s="32">
        <v>0.90391459074733094</v>
      </c>
      <c r="CW72" s="32">
        <v>0.87676056338028174</v>
      </c>
      <c r="CX72" s="32">
        <v>0.87691971090139798</v>
      </c>
      <c r="CY72" s="32">
        <v>0.90374331550802134</v>
      </c>
      <c r="CZ72" s="32">
        <v>0.93298059964726632</v>
      </c>
      <c r="DA72" s="32">
        <v>0.86654804270462638</v>
      </c>
      <c r="DB72" s="32">
        <v>0.91428571428571426</v>
      </c>
      <c r="DC72" s="32">
        <v>0.95246478873239437</v>
      </c>
      <c r="DD72" s="32">
        <v>0.93109540636042398</v>
      </c>
      <c r="DE72" s="32">
        <v>0.93542757417102962</v>
      </c>
      <c r="DF72" s="32">
        <v>0.91950649162992515</v>
      </c>
      <c r="DG72" s="32">
        <v>0.87455830388692579</v>
      </c>
      <c r="DH72" s="32">
        <v>0.9485815602836879</v>
      </c>
      <c r="DI72" s="32">
        <v>0.86572438162544174</v>
      </c>
      <c r="DJ72" s="32">
        <v>0.86971830985915488</v>
      </c>
      <c r="DK72" s="32">
        <v>0.91418563922942209</v>
      </c>
      <c r="DL72" s="32">
        <v>0.93250444049733572</v>
      </c>
      <c r="DM72" s="32">
        <v>0.95929203539823005</v>
      </c>
      <c r="DN72" s="32">
        <v>0.90922352439717113</v>
      </c>
      <c r="DO72" s="32">
        <v>0.87477638640429334</v>
      </c>
      <c r="DP72" s="32">
        <v>0.89436619718309862</v>
      </c>
      <c r="DQ72" s="32">
        <v>0.87165775401069523</v>
      </c>
      <c r="DR72" s="32">
        <v>0.88057040998217473</v>
      </c>
      <c r="DS72" s="32">
        <v>0.92831541218637992</v>
      </c>
      <c r="DT72" s="32">
        <v>0.93428063943161632</v>
      </c>
      <c r="DU72" s="32">
        <v>0.89266547406082286</v>
      </c>
      <c r="DV72" s="32">
        <v>0.89666175332272591</v>
      </c>
      <c r="DW72" s="32">
        <v>0.86200716845878134</v>
      </c>
      <c r="DX72" s="32">
        <v>0.910873440285205</v>
      </c>
      <c r="DY72" s="32">
        <v>0.86404293381037567</v>
      </c>
      <c r="DZ72" s="32">
        <v>0.86583184257602863</v>
      </c>
      <c r="EA72" s="32">
        <v>0.89857651245551606</v>
      </c>
      <c r="EB72" s="32">
        <v>0.88888888888888884</v>
      </c>
      <c r="EC72" s="32">
        <v>0.89483065953654184</v>
      </c>
      <c r="ED72" s="32">
        <v>0.88357877800161966</v>
      </c>
      <c r="EE72" s="32">
        <v>0.89107142857142863</v>
      </c>
      <c r="EF72" s="32">
        <v>0.88848920863309355</v>
      </c>
      <c r="EG72" s="32">
        <v>0.87985865724381629</v>
      </c>
      <c r="EH72" s="32">
        <v>0.87256637168141593</v>
      </c>
      <c r="EI72" s="32">
        <v>0.94346289752650181</v>
      </c>
      <c r="EJ72" s="32">
        <v>0.956989247311828</v>
      </c>
      <c r="EK72" s="32">
        <v>0.92402826855123676</v>
      </c>
      <c r="EL72" s="32">
        <v>0.90806658278847441</v>
      </c>
    </row>
    <row r="73" spans="38:142" x14ac:dyDescent="0.25">
      <c r="AL73" s="19" t="s">
        <v>125</v>
      </c>
      <c r="AM73" s="32">
        <v>0.93813273340832393</v>
      </c>
      <c r="AN73" s="32">
        <v>0.9668141592920354</v>
      </c>
      <c r="AO73" s="32">
        <v>0.9441964285714286</v>
      </c>
      <c r="AP73" s="32">
        <v>0.98423423423423428</v>
      </c>
      <c r="AQ73" s="32">
        <v>0.9743016759776536</v>
      </c>
      <c r="AR73" s="32">
        <v>0.96213808463251671</v>
      </c>
      <c r="AS73" s="32">
        <v>0.9520089285714286</v>
      </c>
      <c r="AT73" s="32">
        <v>0.96026089209823162</v>
      </c>
      <c r="AU73" s="32">
        <v>0.95852017937219736</v>
      </c>
      <c r="AV73" s="32">
        <v>0.97541899441340785</v>
      </c>
      <c r="AW73" s="32">
        <v>0.95652173913043481</v>
      </c>
      <c r="AX73" s="32">
        <v>0.97780244173140951</v>
      </c>
      <c r="AY73" s="32">
        <v>0.95828635851183763</v>
      </c>
      <c r="AZ73" s="32">
        <v>0.97075365579302586</v>
      </c>
      <c r="BA73" s="32">
        <v>0.94742729306487694</v>
      </c>
      <c r="BB73" s="32">
        <v>0.96353295171674136</v>
      </c>
      <c r="BC73" s="32">
        <v>0.9188275084554679</v>
      </c>
      <c r="BD73" s="32">
        <v>0.98338870431893688</v>
      </c>
      <c r="BE73" s="32">
        <v>0.93693693693693691</v>
      </c>
      <c r="BF73" s="32">
        <v>0.94137542277339348</v>
      </c>
      <c r="BG73" s="32">
        <v>0.95100222717149219</v>
      </c>
      <c r="BH73" s="32">
        <v>0.97984322508398658</v>
      </c>
      <c r="BI73" s="32">
        <v>0.95216907675194662</v>
      </c>
      <c r="BJ73" s="32">
        <v>0.95193472878459429</v>
      </c>
      <c r="BK73" s="32">
        <v>0.86643835616438358</v>
      </c>
      <c r="BL73" s="32">
        <v>0.91845979614949036</v>
      </c>
      <c r="BM73" s="32">
        <v>0.88387824126268322</v>
      </c>
      <c r="BN73" s="32">
        <v>0.92913385826771655</v>
      </c>
      <c r="BO73" s="32">
        <v>0.85337915234822448</v>
      </c>
      <c r="BP73" s="32">
        <v>0.80114942528735633</v>
      </c>
      <c r="BQ73" s="32">
        <v>0.81536697247706424</v>
      </c>
      <c r="BR73" s="32">
        <v>0.86682940027955979</v>
      </c>
      <c r="BS73" s="32">
        <v>0.96329254727474967</v>
      </c>
      <c r="BT73" s="32">
        <v>0.96089385474860334</v>
      </c>
      <c r="BU73" s="32">
        <v>0.96582138919514882</v>
      </c>
      <c r="BV73" s="32">
        <v>0.98230088495575218</v>
      </c>
      <c r="BW73" s="32">
        <v>0.96559378468368484</v>
      </c>
      <c r="BX73" s="32">
        <v>0.95959595959595956</v>
      </c>
      <c r="BY73" s="32">
        <v>0.97309417040358748</v>
      </c>
      <c r="BZ73" s="32">
        <v>0.96722751297964094</v>
      </c>
      <c r="CA73" s="32">
        <v>0.96389496717724288</v>
      </c>
      <c r="CB73" s="32">
        <v>0.97797356828193838</v>
      </c>
      <c r="CC73" s="32">
        <v>0.97186147186147187</v>
      </c>
      <c r="CD73" s="32">
        <v>0.97419354838709682</v>
      </c>
      <c r="CE73" s="32">
        <v>0.9836601307189542</v>
      </c>
      <c r="CF73" s="32">
        <v>0.9790979097909791</v>
      </c>
      <c r="CG73" s="32">
        <v>0.97694840834248076</v>
      </c>
      <c r="CH73" s="32">
        <v>0.97537571493716635</v>
      </c>
      <c r="CI73" s="32">
        <v>0.95540691192865101</v>
      </c>
      <c r="CJ73" s="32">
        <v>0.95742358078602618</v>
      </c>
      <c r="CK73" s="32">
        <v>0.96267837541163559</v>
      </c>
      <c r="CL73" s="32">
        <v>0.97674418604651159</v>
      </c>
      <c r="CM73" s="32">
        <v>0.97155361050328226</v>
      </c>
      <c r="CN73" s="32">
        <v>0.97099892588614389</v>
      </c>
      <c r="CO73" s="32">
        <v>0.95833333333333337</v>
      </c>
      <c r="CP73" s="32">
        <v>0.9647341319850834</v>
      </c>
      <c r="CQ73" s="32">
        <v>0.93458980044345896</v>
      </c>
      <c r="CR73" s="32">
        <v>0.97145993413830956</v>
      </c>
      <c r="CS73" s="32">
        <v>0.90417136414881627</v>
      </c>
      <c r="CT73" s="32">
        <v>0.94394618834080712</v>
      </c>
      <c r="CU73" s="32">
        <v>0.97342192691029905</v>
      </c>
      <c r="CV73" s="32">
        <v>0.97912087912087908</v>
      </c>
      <c r="CW73" s="32">
        <v>0.9597765363128492</v>
      </c>
      <c r="CX73" s="32">
        <v>0.95235523277363121</v>
      </c>
      <c r="CY73" s="32">
        <v>0.93229744728079911</v>
      </c>
      <c r="CZ73" s="32">
        <v>0.94438264738598443</v>
      </c>
      <c r="DA73" s="32">
        <v>0.93659621802002224</v>
      </c>
      <c r="DB73" s="32">
        <v>0.94475138121546964</v>
      </c>
      <c r="DC73" s="32">
        <v>0.95916114790286977</v>
      </c>
      <c r="DD73" s="32">
        <v>0.93895671476137621</v>
      </c>
      <c r="DE73" s="32">
        <v>0.96119733924611972</v>
      </c>
      <c r="DF73" s="32">
        <v>0.94533469940180592</v>
      </c>
      <c r="DG73" s="32">
        <v>0.92461197339246115</v>
      </c>
      <c r="DH73" s="32">
        <v>0.94597574421168684</v>
      </c>
      <c r="DI73" s="32">
        <v>0.93</v>
      </c>
      <c r="DJ73" s="32">
        <v>0.95459579180509413</v>
      </c>
      <c r="DK73" s="32">
        <v>0.94789356984478934</v>
      </c>
      <c r="DL73" s="32">
        <v>0.9680264608599779</v>
      </c>
      <c r="DM73" s="32">
        <v>0.95589856670341788</v>
      </c>
      <c r="DN73" s="32">
        <v>0.94671458668820396</v>
      </c>
      <c r="DO73" s="32">
        <v>0.91816143497757852</v>
      </c>
      <c r="DP73" s="32">
        <v>0.95791805094130678</v>
      </c>
      <c r="DQ73" s="32">
        <v>0.9364548494983278</v>
      </c>
      <c r="DR73" s="32">
        <v>0.96756152125279637</v>
      </c>
      <c r="DS73" s="32">
        <v>0.94690265486725667</v>
      </c>
      <c r="DT73" s="32">
        <v>0.96888888888888891</v>
      </c>
      <c r="DU73" s="32">
        <v>0.94555555555555559</v>
      </c>
      <c r="DV73" s="32">
        <v>0.94877756514024447</v>
      </c>
      <c r="DW73" s="32">
        <v>0.952914798206278</v>
      </c>
      <c r="DX73" s="32">
        <v>0.94888888888888889</v>
      </c>
      <c r="DY73" s="32">
        <v>0.95986622073578598</v>
      </c>
      <c r="DZ73" s="32">
        <v>0.9845644983461963</v>
      </c>
      <c r="EA73" s="32">
        <v>0.95464601769911506</v>
      </c>
      <c r="EB73" s="32">
        <v>0.94994438264738601</v>
      </c>
      <c r="EC73" s="32">
        <v>0.96784922394678496</v>
      </c>
      <c r="ED73" s="32">
        <v>0.95981057578149076</v>
      </c>
      <c r="EE73" s="32">
        <v>0.9407158836689038</v>
      </c>
      <c r="EF73" s="32">
        <v>0.9690949227373068</v>
      </c>
      <c r="EG73" s="32">
        <v>0.94</v>
      </c>
      <c r="EH73" s="32">
        <v>0.94795127353266884</v>
      </c>
      <c r="EI73" s="32">
        <v>0.97006651884700668</v>
      </c>
      <c r="EJ73" s="32">
        <v>0.96899224806201545</v>
      </c>
      <c r="EK73" s="32">
        <v>0.96892341842397334</v>
      </c>
      <c r="EL73" s="32">
        <v>0.95796346646741082</v>
      </c>
    </row>
    <row r="74" spans="38:142" x14ac:dyDescent="0.25">
      <c r="AL74" s="19" t="s">
        <v>126</v>
      </c>
      <c r="AM74" s="32">
        <v>0.99860724233983289</v>
      </c>
      <c r="AN74" s="32">
        <v>0.99587912087912089</v>
      </c>
      <c r="AO74" s="32">
        <v>0.99310344827586206</v>
      </c>
      <c r="AP74" s="32">
        <v>1</v>
      </c>
      <c r="AQ74" s="32">
        <v>0.99723756906077343</v>
      </c>
      <c r="AR74" s="32">
        <v>0.99587912087912089</v>
      </c>
      <c r="AS74" s="32">
        <v>0.99314128943758573</v>
      </c>
      <c r="AT74" s="32">
        <v>0.99626397012461376</v>
      </c>
      <c r="AU74" s="32">
        <v>0.99710144927536237</v>
      </c>
      <c r="AV74" s="32">
        <v>1</v>
      </c>
      <c r="AW74" s="32">
        <v>0.98705035971223021</v>
      </c>
      <c r="AX74" s="32">
        <v>0.98290598290598286</v>
      </c>
      <c r="AY74" s="32">
        <v>0.9944979367262724</v>
      </c>
      <c r="AZ74" s="32">
        <v>1</v>
      </c>
      <c r="BA74" s="32">
        <v>1</v>
      </c>
      <c r="BB74" s="32">
        <v>0.99450796123140683</v>
      </c>
      <c r="BC74" s="32">
        <v>0.99710144927536237</v>
      </c>
      <c r="BD74" s="32">
        <v>0.99857549857549854</v>
      </c>
      <c r="BE74" s="32">
        <v>0.9813486370157819</v>
      </c>
      <c r="BF74" s="32">
        <v>0.99282639885222379</v>
      </c>
      <c r="BG74" s="32">
        <v>0.99714693295292445</v>
      </c>
      <c r="BH74" s="32">
        <v>0.99145299145299148</v>
      </c>
      <c r="BI74" s="32">
        <v>0.99571428571428566</v>
      </c>
      <c r="BJ74" s="32">
        <v>0.99345231340558116</v>
      </c>
      <c r="BK74" s="32">
        <v>0.99856733524355301</v>
      </c>
      <c r="BL74" s="32">
        <v>0.99002849002849003</v>
      </c>
      <c r="BM74" s="32">
        <v>0.99856733524355301</v>
      </c>
      <c r="BN74" s="32">
        <v>0.99426111908177905</v>
      </c>
      <c r="BO74" s="32">
        <v>0.9971509971509972</v>
      </c>
      <c r="BP74" s="32">
        <v>0.95797101449275357</v>
      </c>
      <c r="BQ74" s="32">
        <v>0.97246376811594204</v>
      </c>
      <c r="BR74" s="32">
        <v>0.98700143705100973</v>
      </c>
      <c r="BS74" s="32">
        <v>0.99571428571428566</v>
      </c>
      <c r="BT74" s="32">
        <v>0.99714693295292445</v>
      </c>
      <c r="BU74" s="32">
        <v>0.9971509971509972</v>
      </c>
      <c r="BV74" s="32">
        <v>0.99857346647646217</v>
      </c>
      <c r="BW74" s="32">
        <v>0.99572649572649574</v>
      </c>
      <c r="BX74" s="32">
        <v>0.99714285714285711</v>
      </c>
      <c r="BY74" s="32">
        <v>1</v>
      </c>
      <c r="BZ74" s="32">
        <v>0.99735071930914609</v>
      </c>
      <c r="CA74" s="32">
        <v>0.98735955056179781</v>
      </c>
      <c r="CB74" s="32">
        <v>1</v>
      </c>
      <c r="CC74" s="32">
        <v>0.99580419580419577</v>
      </c>
      <c r="CD74" s="32">
        <v>0.99860139860139863</v>
      </c>
      <c r="CE74" s="32">
        <v>1</v>
      </c>
      <c r="CF74" s="32">
        <v>0.99861495844875348</v>
      </c>
      <c r="CG74" s="32">
        <v>1</v>
      </c>
      <c r="CH74" s="32">
        <v>0.99719715763087802</v>
      </c>
      <c r="CI74" s="32">
        <v>1</v>
      </c>
      <c r="CJ74" s="32">
        <v>1</v>
      </c>
      <c r="CK74" s="32">
        <v>0.99722222222222223</v>
      </c>
      <c r="CL74" s="32">
        <v>1</v>
      </c>
      <c r="CM74" s="32">
        <v>0.99860335195530725</v>
      </c>
      <c r="CN74" s="32">
        <v>1</v>
      </c>
      <c r="CO74" s="32">
        <v>1</v>
      </c>
      <c r="CP74" s="32">
        <v>0.99940365345393278</v>
      </c>
      <c r="CQ74" s="32">
        <v>0.99859353023909991</v>
      </c>
      <c r="CR74" s="32">
        <v>0.99860724233983289</v>
      </c>
      <c r="CS74" s="32">
        <v>0.99578059071729963</v>
      </c>
      <c r="CT74" s="32">
        <v>1</v>
      </c>
      <c r="CU74" s="32">
        <v>1</v>
      </c>
      <c r="CV74" s="32">
        <v>1</v>
      </c>
      <c r="CW74" s="32">
        <v>1</v>
      </c>
      <c r="CX74" s="32">
        <v>0.99899733761374754</v>
      </c>
      <c r="CY74" s="32">
        <v>0.98727015558698727</v>
      </c>
      <c r="CZ74" s="32">
        <v>1</v>
      </c>
      <c r="DA74" s="32">
        <v>0.99859154929577465</v>
      </c>
      <c r="DB74" s="32">
        <v>1</v>
      </c>
      <c r="DC74" s="32">
        <v>0.9943820224719101</v>
      </c>
      <c r="DD74" s="32">
        <v>0.99719887955182074</v>
      </c>
      <c r="DE74" s="32">
        <v>0.99578059071729963</v>
      </c>
      <c r="DF74" s="32">
        <v>0.99617474251768456</v>
      </c>
      <c r="DG74" s="32">
        <v>0.99722991689750695</v>
      </c>
      <c r="DH74" s="32">
        <v>1</v>
      </c>
      <c r="DI74" s="32">
        <v>0.99299719887955185</v>
      </c>
      <c r="DJ74" s="32">
        <v>1</v>
      </c>
      <c r="DK74" s="32">
        <v>0.99722991689750695</v>
      </c>
      <c r="DL74" s="32">
        <v>1</v>
      </c>
      <c r="DM74" s="32">
        <v>0.98890429958391124</v>
      </c>
      <c r="DN74" s="32">
        <v>0.99662304746549679</v>
      </c>
      <c r="DO74" s="32">
        <v>0.99302649930264997</v>
      </c>
      <c r="DP74" s="32">
        <v>0.99722222222222223</v>
      </c>
      <c r="DQ74" s="32">
        <v>1</v>
      </c>
      <c r="DR74" s="32">
        <v>0.99863013698630132</v>
      </c>
      <c r="DS74" s="32">
        <v>0.99583333333333335</v>
      </c>
      <c r="DT74" s="32">
        <v>1</v>
      </c>
      <c r="DU74" s="32">
        <v>0.99583333333333335</v>
      </c>
      <c r="DV74" s="32">
        <v>0.99722078931112001</v>
      </c>
      <c r="DW74" s="32">
        <v>1</v>
      </c>
      <c r="DX74" s="32">
        <v>0.99863013698630132</v>
      </c>
      <c r="DY74" s="32">
        <v>0.99571428571428566</v>
      </c>
      <c r="DZ74" s="32">
        <v>0.9985955056179775</v>
      </c>
      <c r="EA74" s="32">
        <v>1</v>
      </c>
      <c r="EB74" s="32">
        <v>1</v>
      </c>
      <c r="EC74" s="32">
        <v>0.99721448467966578</v>
      </c>
      <c r="ED74" s="32">
        <v>0.99859348757117572</v>
      </c>
      <c r="EE74" s="32">
        <v>0.99857954545454541</v>
      </c>
      <c r="EF74" s="32">
        <v>0.99721448467966578</v>
      </c>
      <c r="EG74" s="32">
        <v>0.97461212976022571</v>
      </c>
      <c r="EH74" s="32">
        <v>1</v>
      </c>
      <c r="EI74" s="32">
        <v>0.99720279720279725</v>
      </c>
      <c r="EJ74" s="32">
        <v>1</v>
      </c>
      <c r="EK74" s="32">
        <v>0.9972067039106145</v>
      </c>
      <c r="EL74" s="32">
        <v>0.99497366585826419</v>
      </c>
    </row>
    <row r="75" spans="38:142" x14ac:dyDescent="0.25">
      <c r="AL75" s="19" t="s">
        <v>127</v>
      </c>
      <c r="AM75" s="32">
        <v>0.76953125</v>
      </c>
      <c r="AN75" s="32">
        <v>0.86046511627906974</v>
      </c>
      <c r="AO75" s="32">
        <v>0.79844961240310075</v>
      </c>
      <c r="AP75" s="32">
        <v>0.86046511627906974</v>
      </c>
      <c r="AQ75" s="32">
        <v>0.83984375</v>
      </c>
      <c r="AR75" s="32">
        <v>0.86328125</v>
      </c>
      <c r="AS75" s="32">
        <v>0.81712062256809337</v>
      </c>
      <c r="AT75" s="32">
        <v>0.82987953107561907</v>
      </c>
      <c r="AU75" s="32">
        <v>0.8122605363984674</v>
      </c>
      <c r="AV75" s="32">
        <v>0.88461538461538458</v>
      </c>
      <c r="AW75" s="32">
        <v>0.82592592592592595</v>
      </c>
      <c r="AX75" s="32">
        <v>0.88148148148148153</v>
      </c>
      <c r="AY75" s="32">
        <v>0.92045454545454541</v>
      </c>
      <c r="AZ75" s="32">
        <v>0.86923076923076925</v>
      </c>
      <c r="BA75" s="32">
        <v>0.90384615384615385</v>
      </c>
      <c r="BB75" s="32">
        <v>0.87111639956467546</v>
      </c>
      <c r="BC75" s="32">
        <v>0.81712062256809337</v>
      </c>
      <c r="BD75" s="32">
        <v>0.85555555555555551</v>
      </c>
      <c r="BE75" s="32">
        <v>0.81712062256809337</v>
      </c>
      <c r="BF75" s="32">
        <v>0.87398373983739841</v>
      </c>
      <c r="BG75" s="32">
        <v>0.8599221789883269</v>
      </c>
      <c r="BH75" s="32">
        <v>0.88167938931297707</v>
      </c>
      <c r="BI75" s="32">
        <v>0.84615384615384615</v>
      </c>
      <c r="BJ75" s="32">
        <v>0.85021942214061297</v>
      </c>
      <c r="BK75" s="32">
        <v>0.80158730158730163</v>
      </c>
      <c r="BL75" s="32">
        <v>0.81854838709677424</v>
      </c>
      <c r="BM75" s="32">
        <v>0.84586466165413532</v>
      </c>
      <c r="BN75" s="32">
        <v>0.93962264150943398</v>
      </c>
      <c r="BO75" s="32">
        <v>0.84920634920634919</v>
      </c>
      <c r="BP75" s="32">
        <v>0.74193548387096775</v>
      </c>
      <c r="BQ75" s="32">
        <v>0.81451612903225812</v>
      </c>
      <c r="BR75" s="32">
        <v>0.83018299342245994</v>
      </c>
      <c r="BS75" s="32">
        <v>0.81132075471698117</v>
      </c>
      <c r="BT75" s="32">
        <v>0.80158730158730163</v>
      </c>
      <c r="BU75" s="32">
        <v>0.86037735849056607</v>
      </c>
      <c r="BV75" s="32">
        <v>0.91385767790262173</v>
      </c>
      <c r="BW75" s="32">
        <v>0.83834586466165417</v>
      </c>
      <c r="BX75" s="32">
        <v>0.86466165413533835</v>
      </c>
      <c r="BY75" s="32">
        <v>0.91208791208791207</v>
      </c>
      <c r="BZ75" s="32">
        <v>0.85746264622605362</v>
      </c>
      <c r="CA75" s="32">
        <v>0.85018726591760296</v>
      </c>
      <c r="CB75" s="32">
        <v>0.90681003584229392</v>
      </c>
      <c r="CC75" s="32">
        <v>0.90262172284644193</v>
      </c>
      <c r="CD75" s="32">
        <v>0.9285714285714286</v>
      </c>
      <c r="CE75" s="32">
        <v>0.8721804511278195</v>
      </c>
      <c r="CF75" s="32">
        <v>0.88721804511278191</v>
      </c>
      <c r="CG75" s="32">
        <v>0.84269662921348309</v>
      </c>
      <c r="CH75" s="32">
        <v>0.88432651123312167</v>
      </c>
      <c r="CI75" s="32">
        <v>0.89513108614232206</v>
      </c>
      <c r="CJ75" s="32">
        <v>0.90225563909774431</v>
      </c>
      <c r="CK75" s="32">
        <v>0.90262172284644193</v>
      </c>
      <c r="CL75" s="32">
        <v>0.90145985401459849</v>
      </c>
      <c r="CM75" s="32">
        <v>0.91970802919708028</v>
      </c>
      <c r="CN75" s="32">
        <v>0.90225563909774431</v>
      </c>
      <c r="CO75" s="32">
        <v>0.91729323308270672</v>
      </c>
      <c r="CP75" s="32">
        <v>0.90581788621123405</v>
      </c>
      <c r="CQ75" s="32">
        <v>0.82771535580524347</v>
      </c>
      <c r="CR75" s="32">
        <v>0.90909090909090906</v>
      </c>
      <c r="CS75" s="32">
        <v>0.8651685393258427</v>
      </c>
      <c r="CT75" s="32">
        <v>0.8970588235294118</v>
      </c>
      <c r="CU75" s="32">
        <v>0.87265917602996257</v>
      </c>
      <c r="CV75" s="32">
        <v>0.9285714285714286</v>
      </c>
      <c r="CW75" s="32">
        <v>0.83703703703703702</v>
      </c>
      <c r="CX75" s="32">
        <v>0.87675732419854779</v>
      </c>
      <c r="CY75" s="32">
        <v>0.82835820895522383</v>
      </c>
      <c r="CZ75" s="32">
        <v>0.91791044776119401</v>
      </c>
      <c r="DA75" s="32">
        <v>0.82462686567164178</v>
      </c>
      <c r="DB75" s="32">
        <v>0.88059701492537312</v>
      </c>
      <c r="DC75" s="32">
        <v>0.84701492537313428</v>
      </c>
      <c r="DD75" s="32">
        <v>0.9051094890510949</v>
      </c>
      <c r="DE75" s="32">
        <v>0.89051094890510951</v>
      </c>
      <c r="DF75" s="32">
        <v>0.87058970009182446</v>
      </c>
      <c r="DG75" s="32">
        <v>0.83208955223880599</v>
      </c>
      <c r="DH75" s="32">
        <v>0.91044776119402981</v>
      </c>
      <c r="DI75" s="32">
        <v>0.85820895522388063</v>
      </c>
      <c r="DJ75" s="32">
        <v>0.86080586080586086</v>
      </c>
      <c r="DK75" s="32">
        <v>0.82835820895522383</v>
      </c>
      <c r="DL75" s="32">
        <v>0.91512915129151295</v>
      </c>
      <c r="DM75" s="32">
        <v>0.89552238805970152</v>
      </c>
      <c r="DN75" s="32">
        <v>0.87150883968128778</v>
      </c>
      <c r="DO75" s="32">
        <v>0.8539325842696629</v>
      </c>
      <c r="DP75" s="32">
        <v>0.89849624060150379</v>
      </c>
      <c r="DQ75" s="32">
        <v>0.9101123595505618</v>
      </c>
      <c r="DR75" s="32">
        <v>0.89568345323741005</v>
      </c>
      <c r="DS75" s="32">
        <v>0.90370370370370368</v>
      </c>
      <c r="DT75" s="32">
        <v>0.93233082706766912</v>
      </c>
      <c r="DU75" s="32">
        <v>0.92105263157894735</v>
      </c>
      <c r="DV75" s="32">
        <v>0.90218740000135134</v>
      </c>
      <c r="DW75" s="32">
        <v>0.88059701492537312</v>
      </c>
      <c r="DX75" s="32">
        <v>0.91489361702127658</v>
      </c>
      <c r="DY75" s="32">
        <v>0.93283582089552242</v>
      </c>
      <c r="DZ75" s="32">
        <v>0.90780141843971629</v>
      </c>
      <c r="EA75" s="32">
        <v>0.91881918819188191</v>
      </c>
      <c r="EB75" s="32">
        <v>0.93454545454545457</v>
      </c>
      <c r="EC75" s="32">
        <v>0.86940298507462688</v>
      </c>
      <c r="ED75" s="32">
        <v>0.90841364272769298</v>
      </c>
      <c r="EE75" s="32">
        <v>0.89247311827956988</v>
      </c>
      <c r="EF75" s="32">
        <v>0.94755244755244761</v>
      </c>
      <c r="EG75" s="32">
        <v>0.91428571428571426</v>
      </c>
      <c r="EH75" s="32">
        <v>0.90217391304347827</v>
      </c>
      <c r="EI75" s="32">
        <v>0.95357142857142863</v>
      </c>
      <c r="EJ75" s="32">
        <v>0.91007194244604317</v>
      </c>
      <c r="EK75" s="32">
        <v>0.90217391304347827</v>
      </c>
      <c r="EL75" s="32">
        <v>0.91747178246030869</v>
      </c>
    </row>
    <row r="76" spans="38:142" x14ac:dyDescent="0.25">
      <c r="AL76" s="19" t="s">
        <v>128</v>
      </c>
      <c r="AM76" s="32">
        <v>0.94108983799705448</v>
      </c>
      <c r="AN76" s="32">
        <v>0.9599406528189911</v>
      </c>
      <c r="AO76" s="32">
        <v>0.97496318114874814</v>
      </c>
      <c r="AP76" s="32">
        <v>0.98527245949926368</v>
      </c>
      <c r="AQ76" s="32">
        <v>0.95287187039764354</v>
      </c>
      <c r="AR76" s="32">
        <v>0.96165191740412981</v>
      </c>
      <c r="AS76" s="32">
        <v>0.96318114874815908</v>
      </c>
      <c r="AT76" s="32">
        <v>0.96271015257342718</v>
      </c>
      <c r="AU76" s="32">
        <v>0.9282576866764275</v>
      </c>
      <c r="AV76" s="32">
        <v>0.98085419734904267</v>
      </c>
      <c r="AW76" s="32">
        <v>0.91703056768558955</v>
      </c>
      <c r="AX76" s="32">
        <v>0.95601173020527863</v>
      </c>
      <c r="AY76" s="32">
        <v>0.97962154294032022</v>
      </c>
      <c r="AZ76" s="32">
        <v>0.96165191740412981</v>
      </c>
      <c r="BA76" s="32">
        <v>0.9823269513991163</v>
      </c>
      <c r="BB76" s="32">
        <v>0.95796494195141502</v>
      </c>
      <c r="BC76" s="32">
        <v>0.92466765140324958</v>
      </c>
      <c r="BD76" s="32">
        <v>0.95729013254786455</v>
      </c>
      <c r="BE76" s="32">
        <v>0.93925925925925924</v>
      </c>
      <c r="BF76" s="32">
        <v>0.95454545454545459</v>
      </c>
      <c r="BG76" s="32">
        <v>0.94814814814814818</v>
      </c>
      <c r="BH76" s="32">
        <v>0.95876288659793818</v>
      </c>
      <c r="BI76" s="32">
        <v>0.9734904270986745</v>
      </c>
      <c r="BJ76" s="32">
        <v>0.95088056565722689</v>
      </c>
      <c r="BK76" s="32">
        <v>0.94370370370370371</v>
      </c>
      <c r="BL76" s="32">
        <v>0.91911764705882348</v>
      </c>
      <c r="BM76" s="32">
        <v>0.94814814814814818</v>
      </c>
      <c r="BN76" s="32">
        <v>0.98548621190130625</v>
      </c>
      <c r="BO76" s="32">
        <v>0.85112781954887218</v>
      </c>
      <c r="BP76" s="32">
        <v>0.80480480480480476</v>
      </c>
      <c r="BQ76" s="32">
        <v>0.80688622754491013</v>
      </c>
      <c r="BR76" s="32">
        <v>0.89418208038722402</v>
      </c>
      <c r="BS76" s="32">
        <v>0.92296296296296299</v>
      </c>
      <c r="BT76" s="32">
        <v>0.96376811594202894</v>
      </c>
      <c r="BU76" s="32">
        <v>0.94860499265785614</v>
      </c>
      <c r="BV76" s="32">
        <v>0.96671490593342979</v>
      </c>
      <c r="BW76" s="32">
        <v>0.95851851851851855</v>
      </c>
      <c r="BX76" s="32">
        <v>0.93604651162790697</v>
      </c>
      <c r="BY76" s="32">
        <v>0.93471810089020768</v>
      </c>
      <c r="BZ76" s="32">
        <v>0.94733344407613018</v>
      </c>
      <c r="CA76" s="32">
        <v>0.911976911976912</v>
      </c>
      <c r="CB76" s="32">
        <v>0.97406340057636887</v>
      </c>
      <c r="CC76" s="32">
        <v>0.911976911976912</v>
      </c>
      <c r="CD76" s="32">
        <v>0.92929292929292928</v>
      </c>
      <c r="CE76" s="32">
        <v>0.94805194805194803</v>
      </c>
      <c r="CF76" s="32">
        <v>0.96695402298850575</v>
      </c>
      <c r="CG76" s="32">
        <v>0.94812680115273773</v>
      </c>
      <c r="CH76" s="32">
        <v>0.94149184657375906</v>
      </c>
      <c r="CI76" s="32">
        <v>0.93227665706051877</v>
      </c>
      <c r="CJ76" s="32">
        <v>0.95959595959595956</v>
      </c>
      <c r="CK76" s="32">
        <v>0.93083573487031701</v>
      </c>
      <c r="CL76" s="32">
        <v>0.91354466858789629</v>
      </c>
      <c r="CM76" s="32">
        <v>0.96829971181556196</v>
      </c>
      <c r="CN76" s="32">
        <v>0.95422031473533619</v>
      </c>
      <c r="CO76" s="32">
        <v>0.95415472779369626</v>
      </c>
      <c r="CP76" s="32">
        <v>0.94470396777989796</v>
      </c>
      <c r="CQ76" s="32">
        <v>0.88596491228070173</v>
      </c>
      <c r="CR76" s="32">
        <v>0.91872278664731499</v>
      </c>
      <c r="CS76" s="32">
        <v>0.85964912280701755</v>
      </c>
      <c r="CT76" s="32">
        <v>0.89327485380116955</v>
      </c>
      <c r="CU76" s="32">
        <v>0.89504373177842567</v>
      </c>
      <c r="CV76" s="32">
        <v>0.91291727140783741</v>
      </c>
      <c r="CW76" s="32">
        <v>0.9285714285714286</v>
      </c>
      <c r="CX76" s="32">
        <v>0.89916344389912795</v>
      </c>
      <c r="CY76" s="32">
        <v>0.89380530973451322</v>
      </c>
      <c r="CZ76" s="32">
        <v>0.91788856304985333</v>
      </c>
      <c r="DA76" s="32">
        <v>0.92330383480825962</v>
      </c>
      <c r="DB76" s="32">
        <v>0.94736842105263153</v>
      </c>
      <c r="DC76" s="32">
        <v>0.93392070484581502</v>
      </c>
      <c r="DD76" s="32">
        <v>0.95007342143906015</v>
      </c>
      <c r="DE76" s="32">
        <v>0.92815249266862165</v>
      </c>
      <c r="DF76" s="32">
        <v>0.92778753537125058</v>
      </c>
      <c r="DG76" s="32">
        <v>0.93108504398826974</v>
      </c>
      <c r="DH76" s="32">
        <v>0.95217391304347831</v>
      </c>
      <c r="DI76" s="32">
        <v>0.94713656387665202</v>
      </c>
      <c r="DJ76" s="32">
        <v>0.96220930232558144</v>
      </c>
      <c r="DK76" s="32">
        <v>0.94075144508670516</v>
      </c>
      <c r="DL76" s="32">
        <v>0.92682926829268297</v>
      </c>
      <c r="DM76" s="32">
        <v>0.94864479315263905</v>
      </c>
      <c r="DN76" s="32">
        <v>0.94411861853800116</v>
      </c>
      <c r="DO76" s="32">
        <v>0.93648449039881831</v>
      </c>
      <c r="DP76" s="32">
        <v>0.96511627906976749</v>
      </c>
      <c r="DQ76" s="32">
        <v>0.93814432989690721</v>
      </c>
      <c r="DR76" s="32">
        <v>0.94759825327510916</v>
      </c>
      <c r="DS76" s="32">
        <v>0.93796159527326439</v>
      </c>
      <c r="DT76" s="32">
        <v>0.94883040935672514</v>
      </c>
      <c r="DU76" s="32">
        <v>0.96165191740412981</v>
      </c>
      <c r="DV76" s="32">
        <v>0.94796961066781726</v>
      </c>
      <c r="DW76" s="32">
        <v>0.9250720461095101</v>
      </c>
      <c r="DX76" s="32">
        <v>0.94032023289665212</v>
      </c>
      <c r="DY76" s="32">
        <v>0.90634005763688763</v>
      </c>
      <c r="DZ76" s="32">
        <v>0.93158660844250363</v>
      </c>
      <c r="EA76" s="32">
        <v>0.95121951219512191</v>
      </c>
      <c r="EB76" s="32">
        <v>0.95652173913043481</v>
      </c>
      <c r="EC76" s="32">
        <v>0.9538239538239538</v>
      </c>
      <c r="ED76" s="32">
        <v>0.93784059289072341</v>
      </c>
      <c r="EE76" s="32">
        <v>0.91445427728613571</v>
      </c>
      <c r="EF76" s="32">
        <v>0.9577874818049491</v>
      </c>
      <c r="EG76" s="32">
        <v>0.92772861356932157</v>
      </c>
      <c r="EH76" s="32">
        <v>0.96176470588235297</v>
      </c>
      <c r="EI76" s="32">
        <v>0.95722713864306785</v>
      </c>
      <c r="EJ76" s="32">
        <v>0.95766423357664232</v>
      </c>
      <c r="EK76" s="32">
        <v>0.95626822157434399</v>
      </c>
      <c r="EL76" s="32">
        <v>0.94755638176240198</v>
      </c>
    </row>
    <row r="77" spans="38:142" x14ac:dyDescent="0.25">
      <c r="AL77" s="19" t="s">
        <v>129</v>
      </c>
      <c r="AM77" s="32">
        <v>0.87825059101654845</v>
      </c>
      <c r="AN77" s="32">
        <v>0.92316384180790956</v>
      </c>
      <c r="AO77" s="32">
        <v>0.87692307692307692</v>
      </c>
      <c r="AP77" s="32">
        <v>0.89426321709786272</v>
      </c>
      <c r="AQ77" s="32">
        <v>0.90888888888888886</v>
      </c>
      <c r="AR77" s="32">
        <v>0.90827740492170017</v>
      </c>
      <c r="AS77" s="32">
        <v>0.92375690607734806</v>
      </c>
      <c r="AT77" s="32">
        <v>0.90193198953333364</v>
      </c>
      <c r="AU77" s="32">
        <v>0.91812865497076024</v>
      </c>
      <c r="AV77" s="32">
        <v>0.91309255079006768</v>
      </c>
      <c r="AW77" s="32">
        <v>0.90277777777777779</v>
      </c>
      <c r="AX77" s="32">
        <v>0.90837988826815641</v>
      </c>
      <c r="AY77" s="32">
        <v>0.93288590604026844</v>
      </c>
      <c r="AZ77" s="32">
        <v>0.93141592920353977</v>
      </c>
      <c r="BA77" s="32">
        <v>0.94988610478359914</v>
      </c>
      <c r="BB77" s="32">
        <v>0.92236668740488137</v>
      </c>
      <c r="BC77" s="32">
        <v>0.86267605633802813</v>
      </c>
      <c r="BD77" s="32">
        <v>0.91453940066592676</v>
      </c>
      <c r="BE77" s="32">
        <v>0.85290628706998817</v>
      </c>
      <c r="BF77" s="32">
        <v>0.87990487514863258</v>
      </c>
      <c r="BG77" s="32">
        <v>0.89795918367346939</v>
      </c>
      <c r="BH77" s="32">
        <v>0.9118303571428571</v>
      </c>
      <c r="BI77" s="32">
        <v>0.89504036908881202</v>
      </c>
      <c r="BJ77" s="32">
        <v>0.88783664701824494</v>
      </c>
      <c r="BK77" s="32">
        <v>0.85006045949214026</v>
      </c>
      <c r="BL77" s="32">
        <v>0.8538922155688623</v>
      </c>
      <c r="BM77" s="32">
        <v>0.85917159763313611</v>
      </c>
      <c r="BN77" s="32">
        <v>0.88465974625144173</v>
      </c>
      <c r="BO77" s="32">
        <v>0.82836710369487487</v>
      </c>
      <c r="BP77" s="32">
        <v>0.77250608272506083</v>
      </c>
      <c r="BQ77" s="32">
        <v>0.78385093167701858</v>
      </c>
      <c r="BR77" s="32">
        <v>0.83321544814893345</v>
      </c>
      <c r="BS77" s="32">
        <v>0.91016548463356972</v>
      </c>
      <c r="BT77" s="32">
        <v>0.9071100917431193</v>
      </c>
      <c r="BU77" s="32">
        <v>0.92452830188679247</v>
      </c>
      <c r="BV77" s="32">
        <v>0.94256756756756754</v>
      </c>
      <c r="BW77" s="32">
        <v>0.93257142857142861</v>
      </c>
      <c r="BX77" s="32">
        <v>0.88228299643281805</v>
      </c>
      <c r="BY77" s="32">
        <v>0.92192881745120547</v>
      </c>
      <c r="BZ77" s="32">
        <v>0.91730781261235728</v>
      </c>
      <c r="CA77" s="32">
        <v>0.89988081048867696</v>
      </c>
      <c r="CB77" s="32">
        <v>0.9330357142857143</v>
      </c>
      <c r="CC77" s="32">
        <v>0.90094339622641506</v>
      </c>
      <c r="CD77" s="32">
        <v>0.93002257336343119</v>
      </c>
      <c r="CE77" s="32">
        <v>0.8950892857142857</v>
      </c>
      <c r="CF77" s="32">
        <v>0.91877058177826565</v>
      </c>
      <c r="CG77" s="32">
        <v>0.92833146696528557</v>
      </c>
      <c r="CH77" s="32">
        <v>0.91515340411743928</v>
      </c>
      <c r="CI77" s="32">
        <v>0.93419506462984725</v>
      </c>
      <c r="CJ77" s="32">
        <v>0.93049327354260092</v>
      </c>
      <c r="CK77" s="32">
        <v>0.93262411347517726</v>
      </c>
      <c r="CL77" s="32">
        <v>0.92898052691867128</v>
      </c>
      <c r="CM77" s="32">
        <v>0.94610091743119262</v>
      </c>
      <c r="CN77" s="32">
        <v>0.94235033259423506</v>
      </c>
      <c r="CO77" s="32">
        <v>0.93400447427293065</v>
      </c>
      <c r="CP77" s="32">
        <v>0.93553552898066517</v>
      </c>
      <c r="CQ77" s="32">
        <v>0.89778325123152714</v>
      </c>
      <c r="CR77" s="32">
        <v>0.92800899887514066</v>
      </c>
      <c r="CS77" s="32">
        <v>0.92014742014742013</v>
      </c>
      <c r="CT77" s="32">
        <v>0.94794188861985473</v>
      </c>
      <c r="CU77" s="32">
        <v>0.89533560864618889</v>
      </c>
      <c r="CV77" s="32">
        <v>0.90795454545454546</v>
      </c>
      <c r="CW77" s="32">
        <v>0.89686098654708524</v>
      </c>
      <c r="CX77" s="32">
        <v>0.91343324278882321</v>
      </c>
      <c r="CY77" s="32">
        <v>0.92233009708737868</v>
      </c>
      <c r="CZ77" s="32">
        <v>0.89366786140979693</v>
      </c>
      <c r="DA77" s="32">
        <v>0.92363636363636359</v>
      </c>
      <c r="DB77" s="32">
        <v>0.91801385681293302</v>
      </c>
      <c r="DC77" s="32">
        <v>0.91845979614949036</v>
      </c>
      <c r="DD77" s="32">
        <v>0.90646651270207856</v>
      </c>
      <c r="DE77" s="32">
        <v>0.9174107142857143</v>
      </c>
      <c r="DF77" s="32">
        <v>0.9142836002976793</v>
      </c>
      <c r="DG77" s="32">
        <v>0.87904191616766469</v>
      </c>
      <c r="DH77" s="32">
        <v>0.89851767388825543</v>
      </c>
      <c r="DI77" s="32">
        <v>0.87030303030303036</v>
      </c>
      <c r="DJ77" s="32">
        <v>0.86095017381228278</v>
      </c>
      <c r="DK77" s="32">
        <v>0.88587570621468925</v>
      </c>
      <c r="DL77" s="32">
        <v>0.90678941311852701</v>
      </c>
      <c r="DM77" s="32">
        <v>0.89682539682539686</v>
      </c>
      <c r="DN77" s="32">
        <v>0.88547190147569221</v>
      </c>
      <c r="DO77" s="32">
        <v>0.85428907168037604</v>
      </c>
      <c r="DP77" s="32">
        <v>0.87229190421892822</v>
      </c>
      <c r="DQ77" s="32">
        <v>0.8651162790697674</v>
      </c>
      <c r="DR77" s="32">
        <v>0.90112359550561794</v>
      </c>
      <c r="DS77" s="32">
        <v>0.89145496535796764</v>
      </c>
      <c r="DT77" s="32">
        <v>0.8601398601398601</v>
      </c>
      <c r="DU77" s="32">
        <v>0.86518171160609614</v>
      </c>
      <c r="DV77" s="32">
        <v>0.87279962679694478</v>
      </c>
      <c r="DW77" s="32">
        <v>0.87676056338028174</v>
      </c>
      <c r="DX77" s="32">
        <v>0.89840182648401823</v>
      </c>
      <c r="DY77" s="32">
        <v>0.88129496402877694</v>
      </c>
      <c r="DZ77" s="32">
        <v>0.91385331781140866</v>
      </c>
      <c r="EA77" s="32">
        <v>0.89595375722543358</v>
      </c>
      <c r="EB77" s="32">
        <v>0.89260969976905313</v>
      </c>
      <c r="EC77" s="32">
        <v>0.88747099767981441</v>
      </c>
      <c r="ED77" s="32">
        <v>0.89233501805411242</v>
      </c>
      <c r="EE77" s="32">
        <v>0.89585798816568052</v>
      </c>
      <c r="EF77" s="32">
        <v>0.90427927927927931</v>
      </c>
      <c r="EG77" s="32">
        <v>0.88639053254437872</v>
      </c>
      <c r="EH77" s="32">
        <v>0.89942857142857147</v>
      </c>
      <c r="EI77" s="32">
        <v>0.90362811791383224</v>
      </c>
      <c r="EJ77" s="32">
        <v>0.88738738738738743</v>
      </c>
      <c r="EK77" s="32">
        <v>0.89874857792946528</v>
      </c>
      <c r="EL77" s="32">
        <v>0.89653149352122785</v>
      </c>
    </row>
    <row r="78" spans="38:142" x14ac:dyDescent="0.25">
      <c r="AL78" s="19" t="s">
        <v>130</v>
      </c>
      <c r="AM78" s="32">
        <v>0.93256262042389215</v>
      </c>
      <c r="AN78" s="32">
        <v>0.92716909436352124</v>
      </c>
      <c r="AO78" s="32">
        <v>0.90494296577946765</v>
      </c>
      <c r="AP78" s="32">
        <v>0.92420382165605097</v>
      </c>
      <c r="AQ78" s="32">
        <v>0.94252873563218387</v>
      </c>
      <c r="AR78" s="32">
        <v>0.92812499999999998</v>
      </c>
      <c r="AS78" s="32">
        <v>0.95286624203821657</v>
      </c>
      <c r="AT78" s="32">
        <v>0.93034263998476174</v>
      </c>
      <c r="AU78" s="32">
        <v>0.91028858218318698</v>
      </c>
      <c r="AV78" s="32">
        <v>0.96037735849056605</v>
      </c>
      <c r="AW78" s="32">
        <v>0.91213653603034139</v>
      </c>
      <c r="AX78" s="32">
        <v>0.91441157960981745</v>
      </c>
      <c r="AY78" s="32">
        <v>0.94604767879548302</v>
      </c>
      <c r="AZ78" s="32">
        <v>0.94291091593475529</v>
      </c>
      <c r="BA78" s="32">
        <v>0.95331230283911672</v>
      </c>
      <c r="BB78" s="32">
        <v>0.9342121362690381</v>
      </c>
      <c r="BC78" s="32">
        <v>0.90049751243781095</v>
      </c>
      <c r="BD78" s="32">
        <v>0.93036386449184438</v>
      </c>
      <c r="BE78" s="32">
        <v>0.90056285178236395</v>
      </c>
      <c r="BF78" s="32">
        <v>0.91766184789440608</v>
      </c>
      <c r="BG78" s="32">
        <v>0.93207547169811322</v>
      </c>
      <c r="BH78" s="32">
        <v>0.93191755153029354</v>
      </c>
      <c r="BI78" s="32">
        <v>0.92754528419737658</v>
      </c>
      <c r="BJ78" s="32">
        <v>0.92008919771888686</v>
      </c>
      <c r="BK78" s="32">
        <v>0.88431876606683801</v>
      </c>
      <c r="BL78" s="32">
        <v>0.89579409918392972</v>
      </c>
      <c r="BM78" s="32">
        <v>0.88888888888888884</v>
      </c>
      <c r="BN78" s="32">
        <v>0.90730158730158728</v>
      </c>
      <c r="BO78" s="32">
        <v>0.86671001300390116</v>
      </c>
      <c r="BP78" s="32">
        <v>0.79078694817658346</v>
      </c>
      <c r="BQ78" s="32">
        <v>0.8170103092783505</v>
      </c>
      <c r="BR78" s="32">
        <v>0.86440151598572557</v>
      </c>
      <c r="BS78" s="32">
        <v>0.92928039702233256</v>
      </c>
      <c r="BT78" s="32">
        <v>0.91097178683385582</v>
      </c>
      <c r="BU78" s="32">
        <v>0.92728402734617776</v>
      </c>
      <c r="BV78" s="32">
        <v>0.94245049504950495</v>
      </c>
      <c r="BW78" s="32">
        <v>0.93622291021671822</v>
      </c>
      <c r="BX78" s="32">
        <v>0.90638836179633142</v>
      </c>
      <c r="BY78" s="32">
        <v>0.9282115869017632</v>
      </c>
      <c r="BZ78" s="32">
        <v>0.92582993788095469</v>
      </c>
      <c r="CA78" s="32">
        <v>0.95485466914038342</v>
      </c>
      <c r="CB78" s="32">
        <v>0.9563076923076923</v>
      </c>
      <c r="CC78" s="32">
        <v>0.94890965732087229</v>
      </c>
      <c r="CD78" s="32">
        <v>0.95950155763239875</v>
      </c>
      <c r="CE78" s="32">
        <v>0.95810227972889705</v>
      </c>
      <c r="CF78" s="32">
        <v>0.96234567901234569</v>
      </c>
      <c r="CG78" s="32">
        <v>0.95563770794824399</v>
      </c>
      <c r="CH78" s="32">
        <v>0.95652274901297607</v>
      </c>
      <c r="CI78" s="32">
        <v>0.92567567567567566</v>
      </c>
      <c r="CJ78" s="32">
        <v>0.96298581122763727</v>
      </c>
      <c r="CK78" s="32">
        <v>0.91366459627329188</v>
      </c>
      <c r="CL78" s="32">
        <v>0.91831683168316836</v>
      </c>
      <c r="CM78" s="32">
        <v>0.95723885155772759</v>
      </c>
      <c r="CN78" s="32">
        <v>0.9568965517241379</v>
      </c>
      <c r="CO78" s="32">
        <v>0.9574599260172626</v>
      </c>
      <c r="CP78" s="32">
        <v>0.94174832059412872</v>
      </c>
      <c r="CQ78" s="32">
        <v>0.93061744112030553</v>
      </c>
      <c r="CR78" s="32">
        <v>0.93296089385474856</v>
      </c>
      <c r="CS78" s="32">
        <v>0.91524351676154336</v>
      </c>
      <c r="CT78" s="32">
        <v>0.94730158730158731</v>
      </c>
      <c r="CU78" s="32">
        <v>0.9198757763975155</v>
      </c>
      <c r="CV78" s="32">
        <v>0.90787878787878784</v>
      </c>
      <c r="CW78" s="32">
        <v>0.89914425427872857</v>
      </c>
      <c r="CX78" s="32">
        <v>0.92186032251331673</v>
      </c>
      <c r="CY78" s="32">
        <v>0.94608472400513477</v>
      </c>
      <c r="CZ78" s="32">
        <v>0.95160276555625389</v>
      </c>
      <c r="DA78" s="32">
        <v>0.94170984455958551</v>
      </c>
      <c r="DB78" s="32">
        <v>0.93388429752066116</v>
      </c>
      <c r="DC78" s="32">
        <v>0.96564885496183206</v>
      </c>
      <c r="DD78" s="32">
        <v>0.93554443053817271</v>
      </c>
      <c r="DE78" s="32">
        <v>0.95157232704402517</v>
      </c>
      <c r="DF78" s="32">
        <v>0.94657817774080932</v>
      </c>
      <c r="DG78" s="32">
        <v>0.9361567635903919</v>
      </c>
      <c r="DH78" s="32">
        <v>0.94939911448450343</v>
      </c>
      <c r="DI78" s="32">
        <v>0.9178866963717377</v>
      </c>
      <c r="DJ78" s="32">
        <v>0.9399744572158365</v>
      </c>
      <c r="DK78" s="32">
        <v>0.93627760252365932</v>
      </c>
      <c r="DL78" s="32">
        <v>0.95984943538268508</v>
      </c>
      <c r="DM78" s="32">
        <v>0.94886363636363635</v>
      </c>
      <c r="DN78" s="32">
        <v>0.94120110084749287</v>
      </c>
      <c r="DO78" s="32">
        <v>0.93024730500951169</v>
      </c>
      <c r="DP78" s="32">
        <v>0.94356372859860493</v>
      </c>
      <c r="DQ78" s="32">
        <v>0.9185750636132316</v>
      </c>
      <c r="DR78" s="32">
        <v>0.9282511210762332</v>
      </c>
      <c r="DS78" s="32">
        <v>0.93125397835773394</v>
      </c>
      <c r="DT78" s="32">
        <v>0.95605095541401275</v>
      </c>
      <c r="DU78" s="32">
        <v>0.95593869731800762</v>
      </c>
      <c r="DV78" s="32">
        <v>0.93769726419819077</v>
      </c>
      <c r="DW78" s="32">
        <v>0.91271347248576851</v>
      </c>
      <c r="DX78" s="32">
        <v>0.94080203691915976</v>
      </c>
      <c r="DY78" s="32">
        <v>0.91284987277353691</v>
      </c>
      <c r="DZ78" s="32">
        <v>0.92396166134185298</v>
      </c>
      <c r="EA78" s="32">
        <v>0.93426042983565105</v>
      </c>
      <c r="EB78" s="32">
        <v>0.94592875318066161</v>
      </c>
      <c r="EC78" s="32">
        <v>0.95098663271801398</v>
      </c>
      <c r="ED78" s="32">
        <v>0.9316432656078063</v>
      </c>
      <c r="EE78" s="32">
        <v>0.9354632587859425</v>
      </c>
      <c r="EF78" s="32">
        <v>0.93868520859671301</v>
      </c>
      <c r="EG78" s="32">
        <v>0.92806679511881829</v>
      </c>
      <c r="EH78" s="32">
        <v>0.92889173606662401</v>
      </c>
      <c r="EI78" s="32">
        <v>0.93587301587301586</v>
      </c>
      <c r="EJ78" s="32">
        <v>0.95888678051865905</v>
      </c>
      <c r="EK78" s="32">
        <v>0.94536213468869124</v>
      </c>
      <c r="EL78" s="32">
        <v>0.93874698994978056</v>
      </c>
    </row>
    <row r="79" spans="38:142" x14ac:dyDescent="0.25">
      <c r="AL79" s="19" t="s">
        <v>131</v>
      </c>
      <c r="AM79" s="32">
        <v>0.95233050847457623</v>
      </c>
      <c r="AN79" s="32">
        <v>0.98790322580645162</v>
      </c>
      <c r="AO79" s="32">
        <v>0.94915254237288138</v>
      </c>
      <c r="AP79" s="32">
        <v>0.96496815286624205</v>
      </c>
      <c r="AQ79" s="32">
        <v>0.9631578947368421</v>
      </c>
      <c r="AR79" s="32">
        <v>0.98615548455804047</v>
      </c>
      <c r="AS79" s="32">
        <v>0.9511158342189161</v>
      </c>
      <c r="AT79" s="32">
        <v>0.96496909186199276</v>
      </c>
      <c r="AU79" s="32">
        <v>0.97976570820021303</v>
      </c>
      <c r="AV79" s="32">
        <v>0.95188284518828448</v>
      </c>
      <c r="AW79" s="32">
        <v>0.96379126730564435</v>
      </c>
      <c r="AX79" s="32">
        <v>0.95560253699788589</v>
      </c>
      <c r="AY79" s="32">
        <v>0.97584033613445376</v>
      </c>
      <c r="AZ79" s="32">
        <v>0.96304118268215422</v>
      </c>
      <c r="BA79" s="32">
        <v>0.98218029350104818</v>
      </c>
      <c r="BB79" s="32">
        <v>0.96744345285852618</v>
      </c>
      <c r="BC79" s="32">
        <v>0.95591397849462367</v>
      </c>
      <c r="BD79" s="32">
        <v>0.95227995758218453</v>
      </c>
      <c r="BE79" s="32">
        <v>0.95459459459459461</v>
      </c>
      <c r="BF79" s="32">
        <v>0.94420131291028442</v>
      </c>
      <c r="BG79" s="32">
        <v>0.97236981934112643</v>
      </c>
      <c r="BH79" s="32">
        <v>0.9585547290116897</v>
      </c>
      <c r="BI79" s="32">
        <v>0.95192307692307687</v>
      </c>
      <c r="BJ79" s="32">
        <v>0.95569106697965422</v>
      </c>
      <c r="BK79" s="32">
        <v>0.89497716894977164</v>
      </c>
      <c r="BL79" s="32">
        <v>0.91081382385730214</v>
      </c>
      <c r="BM79" s="32">
        <v>0.91095890410958902</v>
      </c>
      <c r="BN79" s="32">
        <v>0.93325661680092065</v>
      </c>
      <c r="BO79" s="32">
        <v>0.85500575373993093</v>
      </c>
      <c r="BP79" s="32">
        <v>0.84414106939704214</v>
      </c>
      <c r="BQ79" s="32">
        <v>0.80778032036613268</v>
      </c>
      <c r="BR79" s="32">
        <v>0.87956195103152712</v>
      </c>
      <c r="BS79" s="32">
        <v>0.97679558011049727</v>
      </c>
      <c r="BT79" s="32">
        <v>0.94572748267898388</v>
      </c>
      <c r="BU79" s="32">
        <v>0.98089887640449436</v>
      </c>
      <c r="BV79" s="32">
        <v>0.97306397306397308</v>
      </c>
      <c r="BW79" s="32">
        <v>0.98552338530066819</v>
      </c>
      <c r="BX79" s="32">
        <v>0.95194508009153322</v>
      </c>
      <c r="BY79" s="32">
        <v>0.93600000000000005</v>
      </c>
      <c r="BZ79" s="32">
        <v>0.96427919680716434</v>
      </c>
      <c r="CA79" s="32">
        <v>0.93577981651376152</v>
      </c>
      <c r="CB79" s="32">
        <v>0.98399146211312705</v>
      </c>
      <c r="CC79" s="32">
        <v>0.9194699286442406</v>
      </c>
      <c r="CD79" s="32">
        <v>0.92323439099283522</v>
      </c>
      <c r="CE79" s="32">
        <v>0.94882292732855678</v>
      </c>
      <c r="CF79" s="32">
        <v>0.97021276595744677</v>
      </c>
      <c r="CG79" s="32">
        <v>0.97110423116615063</v>
      </c>
      <c r="CH79" s="32">
        <v>0.95037364610230279</v>
      </c>
      <c r="CI79" s="32">
        <v>0.9543094496365524</v>
      </c>
      <c r="CJ79" s="32">
        <v>0.9537987679671458</v>
      </c>
      <c r="CK79" s="32">
        <v>0.95534787123572174</v>
      </c>
      <c r="CL79" s="32">
        <v>0.94050104384133615</v>
      </c>
      <c r="CM79" s="32">
        <v>0.97184567257559962</v>
      </c>
      <c r="CN79" s="32">
        <v>0.95109261186264304</v>
      </c>
      <c r="CO79" s="32">
        <v>0.96141814389989577</v>
      </c>
      <c r="CP79" s="32">
        <v>0.95547336585984211</v>
      </c>
      <c r="CQ79" s="32">
        <v>0.9662802950474183</v>
      </c>
      <c r="CR79" s="32">
        <v>0.95502092050209209</v>
      </c>
      <c r="CS79" s="32">
        <v>0.94747899159663862</v>
      </c>
      <c r="CT79" s="32">
        <v>0.95903361344537819</v>
      </c>
      <c r="CU79" s="32">
        <v>0.96084656084656084</v>
      </c>
      <c r="CV79" s="32">
        <v>0.95873015873015877</v>
      </c>
      <c r="CW79" s="32">
        <v>0.94814814814814818</v>
      </c>
      <c r="CX79" s="32">
        <v>0.95650552690234214</v>
      </c>
      <c r="CY79" s="32">
        <v>0.96767466110531808</v>
      </c>
      <c r="CZ79" s="32">
        <v>0.9634655532359081</v>
      </c>
      <c r="DA79" s="32">
        <v>0.94309799789251847</v>
      </c>
      <c r="DB79" s="32">
        <v>0.95802728226652678</v>
      </c>
      <c r="DC79" s="32">
        <v>0.98232848232848236</v>
      </c>
      <c r="DD79" s="32">
        <v>0.96972860125260962</v>
      </c>
      <c r="DE79" s="32">
        <v>0.96273291925465843</v>
      </c>
      <c r="DF79" s="32">
        <v>0.96386507104800323</v>
      </c>
      <c r="DG79" s="32">
        <v>0.9719334719334719</v>
      </c>
      <c r="DH79" s="32">
        <v>0.97178683385579934</v>
      </c>
      <c r="DI79" s="32">
        <v>0.96494845360824744</v>
      </c>
      <c r="DJ79" s="32">
        <v>0.91482649842271291</v>
      </c>
      <c r="DK79" s="32">
        <v>0.97061909758656872</v>
      </c>
      <c r="DL79" s="32">
        <v>0.96960167714884693</v>
      </c>
      <c r="DM79" s="32">
        <v>0.96016771488469599</v>
      </c>
      <c r="DN79" s="32">
        <v>0.96055482106290613</v>
      </c>
      <c r="DO79" s="32">
        <v>0.93468950749464663</v>
      </c>
      <c r="DP79" s="32">
        <v>0.95890410958904104</v>
      </c>
      <c r="DQ79" s="32">
        <v>0.9441460794844253</v>
      </c>
      <c r="DR79" s="32">
        <v>0.95957446808510638</v>
      </c>
      <c r="DS79" s="32">
        <v>0.97754010695187166</v>
      </c>
      <c r="DT79" s="32">
        <v>0.97761194029850751</v>
      </c>
      <c r="DU79" s="32">
        <v>0.97121535181236673</v>
      </c>
      <c r="DV79" s="32">
        <v>0.96052593767370931</v>
      </c>
      <c r="DW79" s="32">
        <v>0.90840517241379315</v>
      </c>
      <c r="DX79" s="32">
        <v>0.93454935622317592</v>
      </c>
      <c r="DY79" s="32">
        <v>0.9246724890829694</v>
      </c>
      <c r="DZ79" s="32">
        <v>0.92919389978213507</v>
      </c>
      <c r="EA79" s="32">
        <v>0.9375</v>
      </c>
      <c r="EB79" s="32">
        <v>0.96108108108108103</v>
      </c>
      <c r="EC79" s="32">
        <v>0.93405405405405406</v>
      </c>
      <c r="ED79" s="32">
        <v>0.93277943609102976</v>
      </c>
      <c r="EE79" s="32">
        <v>0.95331161780673179</v>
      </c>
      <c r="EF79" s="32">
        <v>0.95217391304347831</v>
      </c>
      <c r="EG79" s="32">
        <v>0.94078947368421051</v>
      </c>
      <c r="EH79" s="32">
        <v>0.93695652173913047</v>
      </c>
      <c r="EI79" s="32">
        <v>0.95797413793103448</v>
      </c>
      <c r="EJ79" s="32">
        <v>0.9329004329004329</v>
      </c>
      <c r="EK79" s="32">
        <v>0.98051948051948057</v>
      </c>
      <c r="EL79" s="32">
        <v>0.9506607968034998</v>
      </c>
    </row>
    <row r="80" spans="38:142" x14ac:dyDescent="0.25">
      <c r="AL80" s="19" t="s">
        <v>132</v>
      </c>
      <c r="AM80" s="32">
        <v>0.88777372262773724</v>
      </c>
      <c r="AN80" s="32">
        <v>0.926497277676951</v>
      </c>
      <c r="AO80" s="32">
        <v>0.92578849721706868</v>
      </c>
      <c r="AP80" s="32">
        <v>0.93444136657433052</v>
      </c>
      <c r="AQ80" s="32">
        <v>0.91415525114155249</v>
      </c>
      <c r="AR80" s="32">
        <v>0.92531876138433511</v>
      </c>
      <c r="AS80" s="32">
        <v>0.91636363636363638</v>
      </c>
      <c r="AT80" s="32">
        <v>0.91861978756937313</v>
      </c>
      <c r="AU80" s="32">
        <v>0.9146230699364214</v>
      </c>
      <c r="AV80" s="32">
        <v>0.93194192377495466</v>
      </c>
      <c r="AW80" s="32">
        <v>0.93462246777163904</v>
      </c>
      <c r="AX80" s="32">
        <v>0.92817679558011046</v>
      </c>
      <c r="AY80" s="32">
        <v>0.92377495462794923</v>
      </c>
      <c r="AZ80" s="32">
        <v>0.92230347349177333</v>
      </c>
      <c r="BA80" s="32">
        <v>0.91288566243194191</v>
      </c>
      <c r="BB80" s="32">
        <v>0.92404690680211288</v>
      </c>
      <c r="BC80" s="32">
        <v>0.88299817184643514</v>
      </c>
      <c r="BD80" s="32">
        <v>0.93223443223443225</v>
      </c>
      <c r="BE80" s="32">
        <v>0.90498154981549817</v>
      </c>
      <c r="BF80" s="32">
        <v>0.93858845096241983</v>
      </c>
      <c r="BG80" s="32">
        <v>0.91410488245931287</v>
      </c>
      <c r="BH80" s="32">
        <v>0.94963369963369959</v>
      </c>
      <c r="BI80" s="32">
        <v>0.91245487364620936</v>
      </c>
      <c r="BJ80" s="32">
        <v>0.91928515151400103</v>
      </c>
      <c r="BK80" s="32">
        <v>0.87272727272727268</v>
      </c>
      <c r="BL80" s="32">
        <v>0.87465940054495916</v>
      </c>
      <c r="BM80" s="32">
        <v>0.92222222222222228</v>
      </c>
      <c r="BN80" s="32">
        <v>0.95229357798165137</v>
      </c>
      <c r="BO80" s="32">
        <v>0.87545126353790614</v>
      </c>
      <c r="BP80" s="32">
        <v>0.79727272727272724</v>
      </c>
      <c r="BQ80" s="32">
        <v>0.82090909090909092</v>
      </c>
      <c r="BR80" s="32">
        <v>0.87364793645654704</v>
      </c>
      <c r="BS80" s="32">
        <v>0.92599277978339345</v>
      </c>
      <c r="BT80" s="32">
        <v>0.87363636363636366</v>
      </c>
      <c r="BU80" s="32">
        <v>0.93967093235831811</v>
      </c>
      <c r="BV80" s="32">
        <v>0.95516925892040261</v>
      </c>
      <c r="BW80" s="32">
        <v>0.92112420670897555</v>
      </c>
      <c r="BX80" s="32">
        <v>0.87909090909090915</v>
      </c>
      <c r="BY80" s="32">
        <v>0.90299184043517677</v>
      </c>
      <c r="BZ80" s="32">
        <v>0.91395375584764849</v>
      </c>
      <c r="CA80" s="32">
        <v>0.87612208258527824</v>
      </c>
      <c r="CB80" s="32">
        <v>0.95516925892040261</v>
      </c>
      <c r="CC80" s="32">
        <v>0.90710382513661203</v>
      </c>
      <c r="CD80" s="32">
        <v>0.91493212669683255</v>
      </c>
      <c r="CE80" s="32">
        <v>0.91884580703336338</v>
      </c>
      <c r="CF80" s="32">
        <v>0.95840867992766732</v>
      </c>
      <c r="CG80" s="32">
        <v>0.93659420289855078</v>
      </c>
      <c r="CH80" s="32">
        <v>0.92388228331410094</v>
      </c>
      <c r="CI80" s="32">
        <v>0.88968609865470849</v>
      </c>
      <c r="CJ80" s="32">
        <v>0.9231805929919138</v>
      </c>
      <c r="CK80" s="32">
        <v>0.92988929889298888</v>
      </c>
      <c r="CL80" s="32">
        <v>0.93146979260595131</v>
      </c>
      <c r="CM80" s="32">
        <v>0.90836298932384341</v>
      </c>
      <c r="CN80" s="32">
        <v>0</v>
      </c>
      <c r="CO80" s="32">
        <v>0.72286995515695063</v>
      </c>
      <c r="CP80" s="32">
        <v>0.75792267537519387</v>
      </c>
      <c r="CQ80" s="32">
        <v>0.88420107719928187</v>
      </c>
      <c r="CR80" s="32">
        <v>0.7051397655545536</v>
      </c>
      <c r="CS80" s="32">
        <v>0.89575645756457567</v>
      </c>
      <c r="CT80" s="32">
        <v>0.9283088235294118</v>
      </c>
      <c r="CU80" s="32">
        <v>0.89431616341030196</v>
      </c>
      <c r="CV80" s="32">
        <v>0.91540516473731082</v>
      </c>
      <c r="CW80" s="32">
        <v>0.9280639431616341</v>
      </c>
      <c r="CX80" s="32">
        <v>0.87874162787958154</v>
      </c>
      <c r="CY80" s="32">
        <v>0.86293958521190262</v>
      </c>
      <c r="CZ80" s="32">
        <v>0.928698752228164</v>
      </c>
      <c r="DA80" s="32">
        <v>0.89535941765241134</v>
      </c>
      <c r="DB80" s="32">
        <v>0.90054249547920429</v>
      </c>
      <c r="DC80" s="32">
        <v>0.88770053475935828</v>
      </c>
      <c r="DD80" s="32">
        <v>0.91689008042895437</v>
      </c>
      <c r="DE80" s="32">
        <v>0.91814946619217086</v>
      </c>
      <c r="DF80" s="32">
        <v>0.90146861885030938</v>
      </c>
      <c r="DG80" s="32">
        <v>0.86367795059469354</v>
      </c>
      <c r="DH80" s="32">
        <v>0.89304812834224601</v>
      </c>
      <c r="DI80" s="32">
        <v>0.8960074280408542</v>
      </c>
      <c r="DJ80" s="32">
        <v>0.77602523659305989</v>
      </c>
      <c r="DK80" s="32">
        <v>0.30044843049327352</v>
      </c>
      <c r="DL80" s="32">
        <v>0.89112534309240621</v>
      </c>
      <c r="DM80" s="32">
        <v>0.90172884440400369</v>
      </c>
      <c r="DN80" s="32">
        <v>0.78886590879436247</v>
      </c>
      <c r="DO80" s="32">
        <v>0.87193460490463215</v>
      </c>
      <c r="DP80" s="32">
        <v>0.89645776566757496</v>
      </c>
      <c r="DQ80" s="32">
        <v>0.89786443825441042</v>
      </c>
      <c r="DR80" s="32">
        <v>0.91152073732718897</v>
      </c>
      <c r="DS80" s="32">
        <v>0.89307624890446979</v>
      </c>
      <c r="DT80" s="32">
        <v>0.92569382273948075</v>
      </c>
      <c r="DU80" s="32">
        <v>0.89645776566757496</v>
      </c>
      <c r="DV80" s="32">
        <v>0.89900076906647608</v>
      </c>
      <c r="DW80" s="32">
        <v>0.86971830985915488</v>
      </c>
      <c r="DX80" s="32">
        <v>0.91734786557674841</v>
      </c>
      <c r="DY80" s="32">
        <v>0.9058614564831261</v>
      </c>
      <c r="DZ80" s="32">
        <v>0.94439541041482788</v>
      </c>
      <c r="EA80" s="32">
        <v>0.91054030115146145</v>
      </c>
      <c r="EB80" s="32">
        <v>0.90534618755477647</v>
      </c>
      <c r="EC80" s="32">
        <v>0.93021201413427557</v>
      </c>
      <c r="ED80" s="32">
        <v>0.91191736359633857</v>
      </c>
      <c r="EE80" s="32">
        <v>0.86448184233835257</v>
      </c>
      <c r="EF80" s="32">
        <v>0.92538671519563243</v>
      </c>
      <c r="EG80" s="32">
        <v>0.8773333333333333</v>
      </c>
      <c r="EH80" s="32">
        <v>0.89184397163120566</v>
      </c>
      <c r="EI80" s="32">
        <v>0.88957597173144876</v>
      </c>
      <c r="EJ80" s="32">
        <v>0.91008174386920981</v>
      </c>
      <c r="EK80" s="32">
        <v>0.90909090909090906</v>
      </c>
      <c r="EL80" s="32">
        <v>0.8953992124557274</v>
      </c>
    </row>
    <row r="81" spans="38:142" x14ac:dyDescent="0.25">
      <c r="AL81" s="19" t="s">
        <v>133</v>
      </c>
      <c r="AM81" s="32">
        <v>0.96993987975951901</v>
      </c>
      <c r="AN81" s="32">
        <v>0.96812749003984067</v>
      </c>
      <c r="AO81" s="32">
        <v>0.96161616161616159</v>
      </c>
      <c r="AP81" s="32">
        <v>0.96831683168316829</v>
      </c>
      <c r="AQ81" s="32">
        <v>0.9393346379647749</v>
      </c>
      <c r="AR81" s="32">
        <v>0.97465886939571145</v>
      </c>
      <c r="AS81" s="32">
        <v>0.9707602339181286</v>
      </c>
      <c r="AT81" s="32">
        <v>0.96467915776818636</v>
      </c>
      <c r="AU81" s="32">
        <v>0.9320987654320988</v>
      </c>
      <c r="AV81" s="32">
        <v>0.97614314115308154</v>
      </c>
      <c r="AW81" s="32">
        <v>0.96098562628336759</v>
      </c>
      <c r="AX81" s="32">
        <v>0.96913580246913578</v>
      </c>
      <c r="AY81" s="32">
        <v>0.94628099173553715</v>
      </c>
      <c r="AZ81" s="32">
        <v>0.98580121703853951</v>
      </c>
      <c r="BA81" s="32">
        <v>0.96747967479674801</v>
      </c>
      <c r="BB81" s="32">
        <v>0.96256074555835824</v>
      </c>
      <c r="BC81" s="32">
        <v>0.92519685039370081</v>
      </c>
      <c r="BD81" s="32">
        <v>0.9634888438133874</v>
      </c>
      <c r="BE81" s="32">
        <v>0.93293885601577908</v>
      </c>
      <c r="BF81" s="32">
        <v>0.97455968688845396</v>
      </c>
      <c r="BG81" s="32">
        <v>0.96862745098039216</v>
      </c>
      <c r="BH81" s="32">
        <v>0.96131528046421666</v>
      </c>
      <c r="BI81" s="32">
        <v>0.94951456310679616</v>
      </c>
      <c r="BJ81" s="32">
        <v>0.95366307595181798</v>
      </c>
      <c r="BK81" s="32">
        <v>0.93041749502982107</v>
      </c>
      <c r="BL81" s="32">
        <v>0.93009708737864083</v>
      </c>
      <c r="BM81" s="32">
        <v>0.96435643564356432</v>
      </c>
      <c r="BN81" s="32">
        <v>0.95816733067729087</v>
      </c>
      <c r="BO81" s="32">
        <v>0.92600000000000005</v>
      </c>
      <c r="BP81" s="32">
        <v>0.83734939759036142</v>
      </c>
      <c r="BQ81" s="32">
        <v>0.87225548902195604</v>
      </c>
      <c r="BR81" s="32">
        <v>0.91694903362023339</v>
      </c>
      <c r="BS81" s="32">
        <v>0.95247148288973382</v>
      </c>
      <c r="BT81" s="32">
        <v>0.96222664015904569</v>
      </c>
      <c r="BU81" s="32">
        <v>0.9508840864440079</v>
      </c>
      <c r="BV81" s="32">
        <v>0.96831683168316829</v>
      </c>
      <c r="BW81" s="32">
        <v>0.94528301886792454</v>
      </c>
      <c r="BX81" s="32">
        <v>0.90684410646387836</v>
      </c>
      <c r="BY81" s="32">
        <v>0.94230769230769229</v>
      </c>
      <c r="BZ81" s="32">
        <v>0.94690483697363592</v>
      </c>
      <c r="CA81" s="32">
        <v>0.97855750487329429</v>
      </c>
      <c r="CB81" s="32">
        <v>0.98238747553816042</v>
      </c>
      <c r="CC81" s="32">
        <v>0.98624754420432215</v>
      </c>
      <c r="CD81" s="32">
        <v>0.98235294117647054</v>
      </c>
      <c r="CE81" s="32">
        <v>0.96724470134874763</v>
      </c>
      <c r="CF81" s="32">
        <v>0.97175141242937857</v>
      </c>
      <c r="CG81" s="32">
        <v>0.97480620155038755</v>
      </c>
      <c r="CH81" s="32">
        <v>0.97762111158868004</v>
      </c>
      <c r="CI81" s="32">
        <v>0.97276264591439687</v>
      </c>
      <c r="CJ81" s="32">
        <v>0.96346153846153848</v>
      </c>
      <c r="CK81" s="32">
        <v>0.96086105675146771</v>
      </c>
      <c r="CL81" s="32">
        <v>0.94921875</v>
      </c>
      <c r="CM81" s="32">
        <v>0.95930232558139539</v>
      </c>
      <c r="CN81" s="32">
        <v>0.97864077669902916</v>
      </c>
      <c r="CO81" s="32">
        <v>0.95321637426900585</v>
      </c>
      <c r="CP81" s="32">
        <v>0.96249478109669051</v>
      </c>
      <c r="CQ81" s="32">
        <v>0.96699029126213587</v>
      </c>
      <c r="CR81" s="32">
        <v>0.96724470134874763</v>
      </c>
      <c r="CS81" s="32">
        <v>0.96699029126213587</v>
      </c>
      <c r="CT81" s="32">
        <v>0.97674418604651159</v>
      </c>
      <c r="CU81" s="32">
        <v>0.96332046332046328</v>
      </c>
      <c r="CV81" s="32">
        <v>0.95777351247600773</v>
      </c>
      <c r="CW81" s="32">
        <v>0.93243243243243246</v>
      </c>
      <c r="CX81" s="32">
        <v>0.96164226830691923</v>
      </c>
      <c r="CY81" s="32">
        <v>0.93307086614173229</v>
      </c>
      <c r="CZ81" s="32">
        <v>0.98455598455598459</v>
      </c>
      <c r="DA81" s="32">
        <v>0.9508840864440079</v>
      </c>
      <c r="DB81" s="32">
        <v>0.98659003831417624</v>
      </c>
      <c r="DC81" s="32">
        <v>0.95393474088291752</v>
      </c>
      <c r="DD81" s="32">
        <v>0.99243856332703217</v>
      </c>
      <c r="DE81" s="32">
        <v>0.98095238095238091</v>
      </c>
      <c r="DF81" s="32">
        <v>0.96891809437403309</v>
      </c>
      <c r="DG81" s="32">
        <v>0.91619047619047622</v>
      </c>
      <c r="DH81" s="32">
        <v>0.96571428571428575</v>
      </c>
      <c r="DI81" s="32">
        <v>0.91603053435114501</v>
      </c>
      <c r="DJ81" s="32">
        <v>0.96007604562737647</v>
      </c>
      <c r="DK81" s="32">
        <v>0.94139886578449905</v>
      </c>
      <c r="DL81" s="32">
        <v>0.96254681647940077</v>
      </c>
      <c r="DM81" s="32">
        <v>0.9584120982986768</v>
      </c>
      <c r="DN81" s="32">
        <v>0.94576701749226555</v>
      </c>
      <c r="DO81" s="32">
        <v>0.96484375</v>
      </c>
      <c r="DP81" s="32">
        <v>0.96969696969696972</v>
      </c>
      <c r="DQ81" s="32">
        <v>0.96047430830039526</v>
      </c>
      <c r="DR81" s="32">
        <v>0.95481335952848723</v>
      </c>
      <c r="DS81" s="32">
        <v>0.94038461538461537</v>
      </c>
      <c r="DT81" s="32">
        <v>0.93962264150943398</v>
      </c>
      <c r="DU81" s="32">
        <v>0.93690248565965584</v>
      </c>
      <c r="DV81" s="32">
        <v>0.95239116143993685</v>
      </c>
      <c r="DW81" s="32">
        <v>0.91439688715953304</v>
      </c>
      <c r="DX81" s="32">
        <v>0.9676190476190476</v>
      </c>
      <c r="DY81" s="32">
        <v>0.90679611650485437</v>
      </c>
      <c r="DZ81" s="32">
        <v>0.93203883495145634</v>
      </c>
      <c r="EA81" s="32">
        <v>0.95393474088291752</v>
      </c>
      <c r="EB81" s="32">
        <v>0.98285714285714287</v>
      </c>
      <c r="EC81" s="32">
        <v>0.95219885277246652</v>
      </c>
      <c r="ED81" s="32">
        <v>0.94426308896391686</v>
      </c>
      <c r="EE81" s="32">
        <v>0.87179487179487181</v>
      </c>
      <c r="EF81" s="32">
        <v>0.9296875</v>
      </c>
      <c r="EG81" s="32">
        <v>0.89215686274509809</v>
      </c>
      <c r="EH81" s="32">
        <v>0.921875</v>
      </c>
      <c r="EI81" s="32">
        <v>0.86398467432950188</v>
      </c>
      <c r="EJ81" s="32">
        <v>0.94961240310077522</v>
      </c>
      <c r="EK81" s="32">
        <v>0.91812865497076024</v>
      </c>
      <c r="EL81" s="32">
        <v>0.90674856670585824</v>
      </c>
    </row>
    <row r="82" spans="38:142" x14ac:dyDescent="0.25">
      <c r="AL82" s="19" t="s">
        <v>134</v>
      </c>
      <c r="AM82" s="32">
        <v>0.96358267716535428</v>
      </c>
      <c r="AN82" s="32">
        <v>0.96931927133269413</v>
      </c>
      <c r="AO82" s="32">
        <v>0.95566502463054193</v>
      </c>
      <c r="AP82" s="32">
        <v>0.96748768472906399</v>
      </c>
      <c r="AQ82" s="32">
        <v>0.95792563600782776</v>
      </c>
      <c r="AR82" s="32">
        <v>0.98943323727185395</v>
      </c>
      <c r="AS82" s="32">
        <v>0.96978557504873297</v>
      </c>
      <c r="AT82" s="32">
        <v>0.96759987231229549</v>
      </c>
      <c r="AU82" s="32">
        <v>0.95024875621890548</v>
      </c>
      <c r="AV82" s="32">
        <v>0.98062015503875966</v>
      </c>
      <c r="AW82" s="32">
        <v>0.9427443237907206</v>
      </c>
      <c r="AX82" s="32">
        <v>0.94926829268292678</v>
      </c>
      <c r="AY82" s="32">
        <v>0.95224171539961011</v>
      </c>
      <c r="AZ82" s="32">
        <v>0.97857838364167482</v>
      </c>
      <c r="BA82" s="32">
        <v>0.96310679611650485</v>
      </c>
      <c r="BB82" s="32">
        <v>0.95954406041272899</v>
      </c>
      <c r="BC82" s="32">
        <v>0.9521484375</v>
      </c>
      <c r="BD82" s="32">
        <v>0.96808510638297873</v>
      </c>
      <c r="BE82" s="32">
        <v>0.9263261296660118</v>
      </c>
      <c r="BF82" s="32">
        <v>0.94669299111549854</v>
      </c>
      <c r="BG82" s="32">
        <v>0.94970986460348161</v>
      </c>
      <c r="BH82" s="32">
        <v>0.95339805825242718</v>
      </c>
      <c r="BI82" s="32">
        <v>0.96811594202898554</v>
      </c>
      <c r="BJ82" s="32">
        <v>0.95206807564991192</v>
      </c>
      <c r="BK82" s="32">
        <v>0.94246031746031744</v>
      </c>
      <c r="BL82" s="32">
        <v>0.91617357001972388</v>
      </c>
      <c r="BM82" s="32">
        <v>0.95303326810176126</v>
      </c>
      <c r="BN82" s="32">
        <v>0.9642857142857143</v>
      </c>
      <c r="BO82" s="32">
        <v>0.89869608826479441</v>
      </c>
      <c r="BP82" s="32">
        <v>0.81344032096288865</v>
      </c>
      <c r="BQ82" s="32">
        <v>0.86506276150627615</v>
      </c>
      <c r="BR82" s="32">
        <v>0.90759314865735374</v>
      </c>
      <c r="BS82" s="32">
        <v>0.97278911564625847</v>
      </c>
      <c r="BT82" s="32">
        <v>0.96587677725118481</v>
      </c>
      <c r="BU82" s="32">
        <v>0.97268292682926827</v>
      </c>
      <c r="BV82" s="32">
        <v>0.97864077669902916</v>
      </c>
      <c r="BW82" s="32">
        <v>0.99711815561959649</v>
      </c>
      <c r="BX82" s="32">
        <v>0.97078870496592018</v>
      </c>
      <c r="BY82" s="32">
        <v>0.98065764023210833</v>
      </c>
      <c r="BZ82" s="32">
        <v>0.9769362996061951</v>
      </c>
      <c r="CA82" s="32">
        <v>0.978515625</v>
      </c>
      <c r="CB82" s="32">
        <v>0.9971509971509972</v>
      </c>
      <c r="CC82" s="32">
        <v>0.97352941176470587</v>
      </c>
      <c r="CD82" s="32">
        <v>0.98157129000969934</v>
      </c>
      <c r="CE82" s="32">
        <v>0.99146110056925996</v>
      </c>
      <c r="CF82" s="32">
        <v>0.99334600760456271</v>
      </c>
      <c r="CG82" s="32">
        <v>0.99044890162368671</v>
      </c>
      <c r="CH82" s="32">
        <v>0.98657476196041594</v>
      </c>
      <c r="CI82" s="32">
        <v>0.951171875</v>
      </c>
      <c r="CJ82" s="32">
        <v>0.97729422894985807</v>
      </c>
      <c r="CK82" s="32">
        <v>0.95544554455445541</v>
      </c>
      <c r="CL82" s="32">
        <v>0.95719844357976658</v>
      </c>
      <c r="CM82" s="32">
        <v>0.95614035087719296</v>
      </c>
      <c r="CN82" s="32">
        <v>0.97988505747126442</v>
      </c>
      <c r="CO82" s="32">
        <v>0.96884128529698155</v>
      </c>
      <c r="CP82" s="32">
        <v>0.96371096938993139</v>
      </c>
      <c r="CQ82" s="32">
        <v>0.9544573643410853</v>
      </c>
      <c r="CR82" s="32">
        <v>0.98457087753134043</v>
      </c>
      <c r="CS82" s="32">
        <v>0.9398058252427185</v>
      </c>
      <c r="CT82" s="32">
        <v>0.95945945945945943</v>
      </c>
      <c r="CU82" s="32">
        <v>0.97101449275362317</v>
      </c>
      <c r="CV82" s="32">
        <v>0.96489563567362424</v>
      </c>
      <c r="CW82" s="32">
        <v>0.95825426944971537</v>
      </c>
      <c r="CX82" s="32">
        <v>0.96177970349308095</v>
      </c>
      <c r="CY82" s="32">
        <v>0.95885167464114829</v>
      </c>
      <c r="CZ82" s="32">
        <v>0.96931927133269413</v>
      </c>
      <c r="DA82" s="32">
        <v>0.95114942528735635</v>
      </c>
      <c r="DB82" s="32">
        <v>0.95860771401693323</v>
      </c>
      <c r="DC82" s="32">
        <v>0.96746411483253592</v>
      </c>
      <c r="DD82" s="32">
        <v>0.9811142587346553</v>
      </c>
      <c r="DE82" s="32">
        <v>0.97914691943127963</v>
      </c>
      <c r="DF82" s="32">
        <v>0.96652191118237185</v>
      </c>
      <c r="DG82" s="32">
        <v>0.94618395303326808</v>
      </c>
      <c r="DH82" s="32">
        <v>0.98207547169811316</v>
      </c>
      <c r="DI82" s="32">
        <v>0.95936570862239845</v>
      </c>
      <c r="DJ82" s="32">
        <v>0.9541015625</v>
      </c>
      <c r="DK82" s="32">
        <v>0.95053346265761396</v>
      </c>
      <c r="DL82" s="32">
        <v>0.97047619047619049</v>
      </c>
      <c r="DM82" s="32">
        <v>0.96641074856046061</v>
      </c>
      <c r="DN82" s="32">
        <v>0.96130672822114926</v>
      </c>
      <c r="DO82" s="32">
        <v>0.96951819075712886</v>
      </c>
      <c r="DP82" s="32">
        <v>0.9732057416267943</v>
      </c>
      <c r="DQ82" s="32">
        <v>0.9556412729026037</v>
      </c>
      <c r="DR82" s="32">
        <v>0.96555023923444971</v>
      </c>
      <c r="DS82" s="32">
        <v>0.97252208047105004</v>
      </c>
      <c r="DT82" s="32">
        <v>0.97200772200772201</v>
      </c>
      <c r="DU82" s="32">
        <v>0.97268292682926827</v>
      </c>
      <c r="DV82" s="32">
        <v>0.96873259626128816</v>
      </c>
      <c r="DW82" s="32">
        <v>0.98737864077669901</v>
      </c>
      <c r="DX82" s="32">
        <v>0.99249530956848031</v>
      </c>
      <c r="DY82" s="32">
        <v>0.97665369649805445</v>
      </c>
      <c r="DZ82" s="32">
        <v>0.9576271186440678</v>
      </c>
      <c r="EA82" s="32">
        <v>0.96634615384615385</v>
      </c>
      <c r="EB82" s="32">
        <v>0.98114985862393966</v>
      </c>
      <c r="EC82" s="32">
        <v>0.96516007532956682</v>
      </c>
      <c r="ED82" s="32">
        <v>0.97525869332670889</v>
      </c>
      <c r="EE82" s="32">
        <v>0.95748792270531402</v>
      </c>
      <c r="EF82" s="32">
        <v>0.98580889309366126</v>
      </c>
      <c r="EG82" s="32">
        <v>0.95238095238095233</v>
      </c>
      <c r="EH82" s="32">
        <v>0.96811594202898554</v>
      </c>
      <c r="EI82" s="32">
        <v>0.95265151515151514</v>
      </c>
      <c r="EJ82" s="32">
        <v>0.97271872060206965</v>
      </c>
      <c r="EK82" s="32">
        <v>0.96872037914691944</v>
      </c>
      <c r="EL82" s="32">
        <v>0.96541204644420253</v>
      </c>
    </row>
    <row r="83" spans="38:142" x14ac:dyDescent="0.25">
      <c r="AL83" s="19" t="s">
        <v>135</v>
      </c>
      <c r="AM83" s="32">
        <v>0.95102685624012639</v>
      </c>
      <c r="AN83" s="32">
        <v>0.98439937597503901</v>
      </c>
      <c r="AO83" s="32">
        <v>0.94348508634222916</v>
      </c>
      <c r="AP83" s="32">
        <v>0.96551724137931039</v>
      </c>
      <c r="AQ83" s="32">
        <v>0.93563579277864994</v>
      </c>
      <c r="AR83" s="32">
        <v>0.98738170347003151</v>
      </c>
      <c r="AS83" s="32">
        <v>0.94654088050314467</v>
      </c>
      <c r="AT83" s="32">
        <v>0.95914099095550454</v>
      </c>
      <c r="AU83" s="32">
        <v>0.9412673879443586</v>
      </c>
      <c r="AV83" s="32">
        <v>0.98127925117004677</v>
      </c>
      <c r="AW83" s="32">
        <v>0.95363214837712518</v>
      </c>
      <c r="AX83" s="32">
        <v>0.9643962848297214</v>
      </c>
      <c r="AY83" s="32">
        <v>0.97468354430379744</v>
      </c>
      <c r="AZ83" s="32">
        <v>0.98449612403100772</v>
      </c>
      <c r="BA83" s="32">
        <v>0.96075353218210358</v>
      </c>
      <c r="BB83" s="32">
        <v>0.96578689611973723</v>
      </c>
      <c r="BC83" s="32">
        <v>0.95950155763239875</v>
      </c>
      <c r="BD83" s="32">
        <v>0.96124031007751942</v>
      </c>
      <c r="BE83" s="32">
        <v>0.93583724569640059</v>
      </c>
      <c r="BF83" s="32">
        <v>0.93887147335423193</v>
      </c>
      <c r="BG83" s="32">
        <v>0.97499999999999998</v>
      </c>
      <c r="BH83" s="32">
        <v>0.98753894080996885</v>
      </c>
      <c r="BI83" s="32">
        <v>0.9610591900311527</v>
      </c>
      <c r="BJ83" s="32">
        <v>0.9598641025145247</v>
      </c>
      <c r="BK83" s="32">
        <v>0.96284829721362231</v>
      </c>
      <c r="BL83" s="32">
        <v>0.94645669291338586</v>
      </c>
      <c r="BM83" s="32">
        <v>0.97222222222222221</v>
      </c>
      <c r="BN83" s="32">
        <v>0.97239263803680986</v>
      </c>
      <c r="BO83" s="32">
        <v>0.95230524642289349</v>
      </c>
      <c r="BP83" s="32">
        <v>0.86612903225806448</v>
      </c>
      <c r="BQ83" s="32">
        <v>0.93408360128617363</v>
      </c>
      <c r="BR83" s="32">
        <v>0.94377681862188179</v>
      </c>
      <c r="BS83" s="32">
        <v>0.96803652968036524</v>
      </c>
      <c r="BT83" s="32">
        <v>0.97272727272727277</v>
      </c>
      <c r="BU83" s="32">
        <v>0.96223564954682783</v>
      </c>
      <c r="BV83" s="32">
        <v>0.97285067873303166</v>
      </c>
      <c r="BW83" s="32">
        <v>0.92727272727272725</v>
      </c>
      <c r="BX83" s="32">
        <v>0.96488549618320607</v>
      </c>
      <c r="BY83" s="32">
        <v>0.96200607902735558</v>
      </c>
      <c r="BZ83" s="32">
        <v>0.96143063331011247</v>
      </c>
      <c r="CA83" s="32">
        <v>0.9117147707979627</v>
      </c>
      <c r="CB83" s="32">
        <v>0.97205882352941175</v>
      </c>
      <c r="CC83" s="32">
        <v>0.92808219178082196</v>
      </c>
      <c r="CD83" s="32">
        <v>0.98655462184873954</v>
      </c>
      <c r="CE83" s="32">
        <v>0.93673110720562391</v>
      </c>
      <c r="CF83" s="32">
        <v>0.96802325581395354</v>
      </c>
      <c r="CG83" s="32">
        <v>0.95307917888563054</v>
      </c>
      <c r="CH83" s="32">
        <v>0.95089199283744918</v>
      </c>
      <c r="CI83" s="32">
        <v>0.94385432473444608</v>
      </c>
      <c r="CJ83" s="32">
        <v>0.95652173913043481</v>
      </c>
      <c r="CK83" s="32">
        <v>0.93981481481481477</v>
      </c>
      <c r="CL83" s="32">
        <v>0.93178294573643405</v>
      </c>
      <c r="CM83" s="32">
        <v>0.96525679758308158</v>
      </c>
      <c r="CN83" s="32">
        <v>0.97217391304347822</v>
      </c>
      <c r="CO83" s="32">
        <v>0.96969696969696972</v>
      </c>
      <c r="CP83" s="32">
        <v>0.95415735781995148</v>
      </c>
      <c r="CQ83" s="32">
        <v>0.94408945686900958</v>
      </c>
      <c r="CR83" s="32">
        <v>0.97480314960629921</v>
      </c>
      <c r="CS83" s="32">
        <v>0.9371980676328503</v>
      </c>
      <c r="CT83" s="32">
        <v>0.98083067092651754</v>
      </c>
      <c r="CU83" s="32">
        <v>0.94408945686900958</v>
      </c>
      <c r="CV83" s="32">
        <v>0.97402597402597402</v>
      </c>
      <c r="CW83" s="32">
        <v>0.93333333333333335</v>
      </c>
      <c r="CX83" s="32">
        <v>0.95548144418042769</v>
      </c>
      <c r="CY83" s="32">
        <v>0.93146417445482865</v>
      </c>
      <c r="CZ83" s="32">
        <v>0.97670807453416153</v>
      </c>
      <c r="DA83" s="32">
        <v>0.95638629283489096</v>
      </c>
      <c r="DB83" s="32">
        <v>0.9381761978361669</v>
      </c>
      <c r="DC83" s="32">
        <v>0.9360730593607306</v>
      </c>
      <c r="DD83" s="32">
        <v>0.96918335901386754</v>
      </c>
      <c r="DE83" s="32">
        <v>0.97659906396255847</v>
      </c>
      <c r="DF83" s="32">
        <v>0.9549414602853149</v>
      </c>
      <c r="DG83" s="32">
        <v>0.94827586206896552</v>
      </c>
      <c r="DH83" s="32">
        <v>0.96472392638036808</v>
      </c>
      <c r="DI83" s="32">
        <v>0.93848580441640383</v>
      </c>
      <c r="DJ83" s="32">
        <v>0.93981481481481477</v>
      </c>
      <c r="DK83" s="32">
        <v>0.96267496111975115</v>
      </c>
      <c r="DL83" s="32">
        <v>0.96599690880989186</v>
      </c>
      <c r="DM83" s="32">
        <v>0.97204968944099379</v>
      </c>
      <c r="DN83" s="32">
        <v>0.95600313815017002</v>
      </c>
      <c r="DO83" s="32">
        <v>0.88163884673748105</v>
      </c>
      <c r="DP83" s="32">
        <v>0.95975232198142413</v>
      </c>
      <c r="DQ83" s="32">
        <v>0.88163884673748105</v>
      </c>
      <c r="DR83" s="32">
        <v>0.93019726858877083</v>
      </c>
      <c r="DS83" s="32">
        <v>0.923896499238965</v>
      </c>
      <c r="DT83" s="32">
        <v>0.97209302325581393</v>
      </c>
      <c r="DU83" s="32">
        <v>0.93150684931506844</v>
      </c>
      <c r="DV83" s="32">
        <v>0.92581766512214347</v>
      </c>
      <c r="DW83" s="32">
        <v>0.956989247311828</v>
      </c>
      <c r="DX83" s="32">
        <v>0.96206373292867986</v>
      </c>
      <c r="DY83" s="32">
        <v>0.96018376722817766</v>
      </c>
      <c r="DZ83" s="32">
        <v>0.97856049004594181</v>
      </c>
      <c r="EA83" s="32">
        <v>0.9573820395738204</v>
      </c>
      <c r="EB83" s="32">
        <v>0.93930197268588767</v>
      </c>
      <c r="EC83" s="32">
        <v>0.92412746585735961</v>
      </c>
      <c r="ED83" s="32">
        <v>0.95408695937595644</v>
      </c>
      <c r="EE83" s="32">
        <v>0.95751138088012144</v>
      </c>
      <c r="EF83" s="32">
        <v>0.96764252696456088</v>
      </c>
      <c r="EG83" s="32">
        <v>0.93778452200303486</v>
      </c>
      <c r="EH83" s="32">
        <v>0.96813353566009108</v>
      </c>
      <c r="EI83" s="32">
        <v>0.96461538461538465</v>
      </c>
      <c r="EJ83" s="32">
        <v>0.97984496124031006</v>
      </c>
      <c r="EK83" s="32">
        <v>0.97347893915756634</v>
      </c>
      <c r="EL83" s="32">
        <v>0.96414446436015289</v>
      </c>
    </row>
    <row r="84" spans="38:142" x14ac:dyDescent="0.25">
      <c r="AL84" s="19" t="s">
        <v>136</v>
      </c>
      <c r="AM84" s="32">
        <v>0.88143525741029638</v>
      </c>
      <c r="AN84" s="32">
        <v>0.91874999999999996</v>
      </c>
      <c r="AO84" s="32">
        <v>0.85581395348837208</v>
      </c>
      <c r="AP84" s="32">
        <v>0.86915887850467288</v>
      </c>
      <c r="AQ84" s="32">
        <v>0.87422360248447206</v>
      </c>
      <c r="AR84" s="32">
        <v>0.94568690095846641</v>
      </c>
      <c r="AS84" s="32">
        <v>0.8928571428571429</v>
      </c>
      <c r="AT84" s="32">
        <v>0.89113224795763191</v>
      </c>
      <c r="AU84" s="32">
        <v>0.87031250000000004</v>
      </c>
      <c r="AV84" s="32">
        <v>0.88975155279503104</v>
      </c>
      <c r="AW84" s="32">
        <v>0.82629107981220662</v>
      </c>
      <c r="AX84" s="32">
        <v>0.85736677115987459</v>
      </c>
      <c r="AY84" s="32">
        <v>0.89424572317262829</v>
      </c>
      <c r="AZ84" s="32">
        <v>0.90993788819875776</v>
      </c>
      <c r="BA84" s="32">
        <v>0.87656250000000002</v>
      </c>
      <c r="BB84" s="32">
        <v>0.87492400216264254</v>
      </c>
      <c r="BC84" s="32">
        <v>0.85053929121725735</v>
      </c>
      <c r="BD84" s="32">
        <v>0.87264150943396224</v>
      </c>
      <c r="BE84" s="32">
        <v>0.86271450858034326</v>
      </c>
      <c r="BF84" s="32">
        <v>0.85015772870662465</v>
      </c>
      <c r="BG84" s="32">
        <v>0.86813186813186816</v>
      </c>
      <c r="BH84" s="32">
        <v>0.88714733542319746</v>
      </c>
      <c r="BI84" s="32">
        <v>0.90781250000000002</v>
      </c>
      <c r="BJ84" s="32">
        <v>0.87130639164189339</v>
      </c>
      <c r="BK84" s="32">
        <v>0.86604361370716509</v>
      </c>
      <c r="BL84" s="32">
        <v>0.88503937007874012</v>
      </c>
      <c r="BM84" s="32">
        <v>0.89906832298136641</v>
      </c>
      <c r="BN84" s="32">
        <v>0.90156250000000004</v>
      </c>
      <c r="BO84" s="32">
        <v>0.78144654088050314</v>
      </c>
      <c r="BP84" s="32">
        <v>0.85179407176287047</v>
      </c>
      <c r="BQ84" s="32">
        <v>0.74565560821484989</v>
      </c>
      <c r="BR84" s="32">
        <v>0.84723000394649939</v>
      </c>
      <c r="BS84" s="32">
        <v>0.87558320373250387</v>
      </c>
      <c r="BT84" s="32">
        <v>0.89891135303265945</v>
      </c>
      <c r="BU84" s="32">
        <v>0.84853168469860896</v>
      </c>
      <c r="BV84" s="32">
        <v>0.87363494539781594</v>
      </c>
      <c r="BW84" s="32">
        <v>0.9145962732919255</v>
      </c>
      <c r="BX84" s="32">
        <v>0.89318885448916407</v>
      </c>
      <c r="BY84" s="32">
        <v>0.8779342723004695</v>
      </c>
      <c r="BZ84" s="32">
        <v>0.88319722670616396</v>
      </c>
      <c r="CA84" s="32">
        <v>0.85536547433903576</v>
      </c>
      <c r="CB84" s="32">
        <v>0.88540031397174257</v>
      </c>
      <c r="CC84" s="32">
        <v>0.84890965732087231</v>
      </c>
      <c r="CD84" s="32">
        <v>0.84423676012461057</v>
      </c>
      <c r="CE84" s="32">
        <v>0.8520249221183801</v>
      </c>
      <c r="CF84" s="32">
        <v>0.88802488335925345</v>
      </c>
      <c r="CG84" s="32">
        <v>0.87944358578052551</v>
      </c>
      <c r="CH84" s="32">
        <v>0.86477222814491728</v>
      </c>
      <c r="CI84" s="32">
        <v>0.90046656298600314</v>
      </c>
      <c r="CJ84" s="32">
        <v>0.87323943661971826</v>
      </c>
      <c r="CK84" s="32">
        <v>0.85</v>
      </c>
      <c r="CL84" s="32">
        <v>0.84472049689440998</v>
      </c>
      <c r="CM84" s="32">
        <v>0.88732394366197187</v>
      </c>
      <c r="CN84" s="32">
        <v>0.88401253918495293</v>
      </c>
      <c r="CO84" s="32">
        <v>0.91065830721003138</v>
      </c>
      <c r="CP84" s="32">
        <v>0.87863161236529819</v>
      </c>
      <c r="CQ84" s="32">
        <v>0.8705148205928237</v>
      </c>
      <c r="CR84" s="32">
        <v>0.86314152410575429</v>
      </c>
      <c r="CS84" s="32">
        <v>0.86342229199372056</v>
      </c>
      <c r="CT84" s="32">
        <v>0.86028257456828883</v>
      </c>
      <c r="CU84" s="32">
        <v>0.88819875776397517</v>
      </c>
      <c r="CV84" s="32">
        <v>0.86625194401244165</v>
      </c>
      <c r="CW84" s="32">
        <v>0.89596273291925466</v>
      </c>
      <c r="CX84" s="32">
        <v>0.87253923513660847</v>
      </c>
      <c r="CY84" s="32">
        <v>0.90740740740740744</v>
      </c>
      <c r="CZ84" s="32">
        <v>0.88767550702028086</v>
      </c>
      <c r="DA84" s="32">
        <v>0.88143525741029638</v>
      </c>
      <c r="DB84" s="32">
        <v>0.90668740279937787</v>
      </c>
      <c r="DC84" s="32">
        <v>0.92923076923076919</v>
      </c>
      <c r="DD84" s="32">
        <v>0.8967642526964561</v>
      </c>
      <c r="DE84" s="32">
        <v>0.93001555209953346</v>
      </c>
      <c r="DF84" s="32">
        <v>0.90560230695201738</v>
      </c>
      <c r="DG84" s="32">
        <v>0.91795665634674928</v>
      </c>
      <c r="DH84" s="32">
        <v>0.90123456790123457</v>
      </c>
      <c r="DI84" s="32">
        <v>0.89612403100775195</v>
      </c>
      <c r="DJ84" s="32">
        <v>0.89147286821705429</v>
      </c>
      <c r="DK84" s="32">
        <v>0.87384615384615383</v>
      </c>
      <c r="DL84" s="32">
        <v>0.92461538461538462</v>
      </c>
      <c r="DM84" s="32">
        <v>0.91176470588235292</v>
      </c>
      <c r="DN84" s="32">
        <v>0.90243062397381146</v>
      </c>
      <c r="DO84" s="32">
        <v>0.89891135303265945</v>
      </c>
      <c r="DP84" s="32">
        <v>0.89984591679506931</v>
      </c>
      <c r="DQ84" s="32">
        <v>0.84566929133858271</v>
      </c>
      <c r="DR84" s="32">
        <v>0.83987441130298268</v>
      </c>
      <c r="DS84" s="32">
        <v>0.90557275541795668</v>
      </c>
      <c r="DT84" s="32">
        <v>0.88646967340590976</v>
      </c>
      <c r="DU84" s="32">
        <v>0.89846153846153842</v>
      </c>
      <c r="DV84" s="32">
        <v>0.88211499139352845</v>
      </c>
      <c r="DW84" s="32">
        <v>0.87812500000000004</v>
      </c>
      <c r="DX84" s="32">
        <v>0.84202211690363349</v>
      </c>
      <c r="DY84" s="32">
        <v>0.85446009389671362</v>
      </c>
      <c r="DZ84" s="32">
        <v>0.86250000000000004</v>
      </c>
      <c r="EA84" s="32">
        <v>0.85825545171339568</v>
      </c>
      <c r="EB84" s="32">
        <v>0.87343749999999998</v>
      </c>
      <c r="EC84" s="32">
        <v>0.86075949367088611</v>
      </c>
      <c r="ED84" s="32">
        <v>0.86136566516923274</v>
      </c>
      <c r="EE84" s="32">
        <v>0.85915492957746475</v>
      </c>
      <c r="EF84" s="32">
        <v>0.86342229199372056</v>
      </c>
      <c r="EG84" s="32">
        <v>0.82758620689655171</v>
      </c>
      <c r="EH84" s="32">
        <v>0.80655226209048358</v>
      </c>
      <c r="EI84" s="32">
        <v>0.87343749999999998</v>
      </c>
      <c r="EJ84" s="32">
        <v>0.8632075471698113</v>
      </c>
      <c r="EK84" s="32">
        <v>0.89514866979655716</v>
      </c>
      <c r="EL84" s="32">
        <v>0.8555013439320841</v>
      </c>
    </row>
    <row r="85" spans="38:142" x14ac:dyDescent="0.25">
      <c r="AL85" s="19" t="s">
        <v>137</v>
      </c>
      <c r="AM85" s="32">
        <v>0.97932816537467704</v>
      </c>
      <c r="AN85" s="32">
        <v>0.94757033248081846</v>
      </c>
      <c r="AO85" s="32">
        <v>0.94764397905759157</v>
      </c>
      <c r="AP85" s="32">
        <v>0.94079794079794077</v>
      </c>
      <c r="AQ85" s="32">
        <v>0.95944233206590623</v>
      </c>
      <c r="AR85" s="32">
        <v>0.95121951219512191</v>
      </c>
      <c r="AS85" s="32">
        <v>0.95833333333333337</v>
      </c>
      <c r="AT85" s="32">
        <v>0.95490508504362714</v>
      </c>
      <c r="AU85" s="32">
        <v>0.94087403598971719</v>
      </c>
      <c r="AV85" s="32">
        <v>0.96915167095115684</v>
      </c>
      <c r="AW85" s="32">
        <v>0.93958868894601544</v>
      </c>
      <c r="AX85" s="32">
        <v>0.93773824650571791</v>
      </c>
      <c r="AY85" s="32">
        <v>0.94501278772378516</v>
      </c>
      <c r="AZ85" s="32">
        <v>0.9605095541401274</v>
      </c>
      <c r="BA85" s="32">
        <v>0.93742017879948913</v>
      </c>
      <c r="BB85" s="32">
        <v>0.94718502329371546</v>
      </c>
      <c r="BC85" s="32">
        <v>0.91570881226053635</v>
      </c>
      <c r="BD85" s="32">
        <v>0.93606138107416881</v>
      </c>
      <c r="BE85" s="32">
        <v>0.90956072351421191</v>
      </c>
      <c r="BF85" s="32">
        <v>0.90641025641025641</v>
      </c>
      <c r="BG85" s="32">
        <v>0.93011435832274458</v>
      </c>
      <c r="BH85" s="32">
        <v>0.93954659949622166</v>
      </c>
      <c r="BI85" s="32">
        <v>0.94125159642401024</v>
      </c>
      <c r="BJ85" s="32">
        <v>0.92552196107173579</v>
      </c>
      <c r="BK85" s="32">
        <v>0.86061381074168797</v>
      </c>
      <c r="BL85" s="32">
        <v>0.90531776913099871</v>
      </c>
      <c r="BM85" s="32">
        <v>0.85880640465793301</v>
      </c>
      <c r="BN85" s="32">
        <v>0.92376111817026685</v>
      </c>
      <c r="BO85" s="32">
        <v>0.85122897800776198</v>
      </c>
      <c r="BP85" s="32">
        <v>0.79530638852672753</v>
      </c>
      <c r="BQ85" s="32">
        <v>0.82398956975228166</v>
      </c>
      <c r="BR85" s="32">
        <v>0.85986057699823681</v>
      </c>
      <c r="BS85" s="32">
        <v>0.94968553459119498</v>
      </c>
      <c r="BT85" s="32">
        <v>0.93670886075949367</v>
      </c>
      <c r="BU85" s="32">
        <v>0.93391521197007477</v>
      </c>
      <c r="BV85" s="32">
        <v>0.924223602484472</v>
      </c>
      <c r="BW85" s="32">
        <v>0.94658385093167707</v>
      </c>
      <c r="BX85" s="32">
        <v>0.91125</v>
      </c>
      <c r="BY85" s="32">
        <v>0.93757802746566787</v>
      </c>
      <c r="BZ85" s="32">
        <v>0.9342778697432258</v>
      </c>
      <c r="CA85" s="32">
        <v>0.89821882951653942</v>
      </c>
      <c r="CB85" s="32">
        <v>0.95498783454987834</v>
      </c>
      <c r="CC85" s="32">
        <v>0.87913486005089059</v>
      </c>
      <c r="CD85" s="32">
        <v>0.91105463786531127</v>
      </c>
      <c r="CE85" s="32">
        <v>0.92848180677540781</v>
      </c>
      <c r="CF85" s="32">
        <v>0.95302843016069216</v>
      </c>
      <c r="CG85" s="32">
        <v>0.94346733668341709</v>
      </c>
      <c r="CH85" s="32">
        <v>0.92405339080030535</v>
      </c>
      <c r="CI85" s="32">
        <v>0.93742017879948913</v>
      </c>
      <c r="CJ85" s="32">
        <v>0.94638403990024933</v>
      </c>
      <c r="CK85" s="32">
        <v>0.91080402010050254</v>
      </c>
      <c r="CL85" s="32">
        <v>0.93601003764115431</v>
      </c>
      <c r="CM85" s="32">
        <v>0.93324937027707811</v>
      </c>
      <c r="CN85" s="32">
        <v>0.91979949874686717</v>
      </c>
      <c r="CO85" s="32">
        <v>0.94037267080745346</v>
      </c>
      <c r="CP85" s="32">
        <v>0.93200568803897066</v>
      </c>
      <c r="CQ85" s="32">
        <v>0.90476190476190477</v>
      </c>
      <c r="CR85" s="32">
        <v>0.94206549118387906</v>
      </c>
      <c r="CS85" s="32">
        <v>0.9206145966709347</v>
      </c>
      <c r="CT85" s="32">
        <v>0.93299620733249056</v>
      </c>
      <c r="CU85" s="32">
        <v>0.92964824120603018</v>
      </c>
      <c r="CV85" s="32">
        <v>0.9438202247191011</v>
      </c>
      <c r="CW85" s="32">
        <v>0.92848180677540781</v>
      </c>
      <c r="CX85" s="32">
        <v>0.92891263894996412</v>
      </c>
      <c r="CY85" s="32">
        <v>0.94303797468354433</v>
      </c>
      <c r="CZ85" s="32">
        <v>0.92962962962962958</v>
      </c>
      <c r="DA85" s="32">
        <v>0.92648922686945501</v>
      </c>
      <c r="DB85" s="32">
        <v>0.93765586034912718</v>
      </c>
      <c r="DC85" s="32">
        <v>0.95828065739570167</v>
      </c>
      <c r="DD85" s="32">
        <v>0.94651741293532343</v>
      </c>
      <c r="DE85" s="32">
        <v>0.9669926650366748</v>
      </c>
      <c r="DF85" s="32">
        <v>0.94408620384277941</v>
      </c>
      <c r="DG85" s="32">
        <v>0.91122071516646119</v>
      </c>
      <c r="DH85" s="32">
        <v>0.9716399506781751</v>
      </c>
      <c r="DI85" s="32">
        <v>0.92105263157894735</v>
      </c>
      <c r="DJ85" s="32">
        <v>0.94271481942714819</v>
      </c>
      <c r="DK85" s="32">
        <v>0.9459119496855346</v>
      </c>
      <c r="DL85" s="32">
        <v>0.96778190830235444</v>
      </c>
      <c r="DM85" s="32">
        <v>0.95641344956413454</v>
      </c>
      <c r="DN85" s="32">
        <v>0.94524791777182227</v>
      </c>
      <c r="DO85" s="32">
        <v>0.90752157829839708</v>
      </c>
      <c r="DP85" s="32">
        <v>0.94561186650185414</v>
      </c>
      <c r="DQ85" s="32">
        <v>0.918546365914787</v>
      </c>
      <c r="DR85" s="32">
        <v>0.92346298619824341</v>
      </c>
      <c r="DS85" s="32">
        <v>0.93804213135068149</v>
      </c>
      <c r="DT85" s="32">
        <v>0.94691358024691363</v>
      </c>
      <c r="DU85" s="32">
        <v>0.94341943419434193</v>
      </c>
      <c r="DV85" s="32">
        <v>0.93193113467217414</v>
      </c>
      <c r="DW85" s="32">
        <v>0.90752157829839708</v>
      </c>
      <c r="DX85" s="32">
        <v>0.94444444444444442</v>
      </c>
      <c r="DY85" s="32">
        <v>0.90628853267570897</v>
      </c>
      <c r="DZ85" s="32">
        <v>0.95155279503105594</v>
      </c>
      <c r="EA85" s="32">
        <v>0.94</v>
      </c>
      <c r="EB85" s="32">
        <v>0.95297029702970293</v>
      </c>
      <c r="EC85" s="32">
        <v>0.94574599260172632</v>
      </c>
      <c r="ED85" s="32">
        <v>0.93550337715443355</v>
      </c>
      <c r="EE85" s="32">
        <v>0.92019950124688277</v>
      </c>
      <c r="EF85" s="32">
        <v>0.95965770171149145</v>
      </c>
      <c r="EG85" s="32">
        <v>0.91510611735330838</v>
      </c>
      <c r="EH85" s="32">
        <v>0.92821782178217827</v>
      </c>
      <c r="EI85" s="32">
        <v>0.92928039702233256</v>
      </c>
      <c r="EJ85" s="32">
        <v>0.93094944512946975</v>
      </c>
      <c r="EK85" s="32">
        <v>0.93796526054590568</v>
      </c>
      <c r="EL85" s="32">
        <v>0.93162517782736687</v>
      </c>
    </row>
    <row r="86" spans="38:142" x14ac:dyDescent="0.25">
      <c r="AL86" s="19" t="s">
        <v>138</v>
      </c>
      <c r="AM86" s="32">
        <v>0.97946859903381644</v>
      </c>
      <c r="AN86" s="32">
        <v>0.95083932853717024</v>
      </c>
      <c r="AO86" s="32">
        <v>0.97826086956521741</v>
      </c>
      <c r="AP86" s="32">
        <v>0.99396863691194215</v>
      </c>
      <c r="AQ86" s="32">
        <v>0.98307134220072556</v>
      </c>
      <c r="AR86" s="32">
        <v>0.98321342925659472</v>
      </c>
      <c r="AS86" s="32">
        <v>0.98681055155875297</v>
      </c>
      <c r="AT86" s="32">
        <v>0.97937610815203135</v>
      </c>
      <c r="AU86" s="32">
        <v>0.97708082026538001</v>
      </c>
      <c r="AV86" s="32">
        <v>0.99520383693045567</v>
      </c>
      <c r="AW86" s="32">
        <v>0.98203592814371254</v>
      </c>
      <c r="AX86" s="32">
        <v>0.9916666666666667</v>
      </c>
      <c r="AY86" s="32">
        <v>0.99399759903961582</v>
      </c>
      <c r="AZ86" s="32">
        <v>0.99758745476477684</v>
      </c>
      <c r="BA86" s="32">
        <v>0.99880525686977295</v>
      </c>
      <c r="BB86" s="32">
        <v>0.99091108038291142</v>
      </c>
      <c r="BC86" s="32">
        <v>0.96622436670687573</v>
      </c>
      <c r="BD86" s="32">
        <v>0.99279711884753896</v>
      </c>
      <c r="BE86" s="32">
        <v>0.96269554753309261</v>
      </c>
      <c r="BF86" s="32">
        <v>0.99039615846338536</v>
      </c>
      <c r="BG86" s="32">
        <v>0.98796630565583632</v>
      </c>
      <c r="BH86" s="32">
        <v>0.99164677804295942</v>
      </c>
      <c r="BI86" s="32">
        <v>0.99161676646706587</v>
      </c>
      <c r="BJ86" s="32">
        <v>0.98333472024525059</v>
      </c>
      <c r="BK86" s="32">
        <v>0.943577430972389</v>
      </c>
      <c r="BL86" s="32">
        <v>0.97949336550060317</v>
      </c>
      <c r="BM86" s="32">
        <v>0.93637454981992796</v>
      </c>
      <c r="BN86" s="32">
        <v>0.97485029940119761</v>
      </c>
      <c r="BO86" s="32">
        <v>0.93157262905162064</v>
      </c>
      <c r="BP86" s="32">
        <v>0.91105769230769229</v>
      </c>
      <c r="BQ86" s="32">
        <v>0.89182692307692313</v>
      </c>
      <c r="BR86" s="32">
        <v>0.93839327001862205</v>
      </c>
      <c r="BS86" s="32">
        <v>0.98554216867469879</v>
      </c>
      <c r="BT86" s="32">
        <v>0.99025578562728378</v>
      </c>
      <c r="BU86" s="32">
        <v>0.97939393939393937</v>
      </c>
      <c r="BV86" s="32">
        <v>0.98218527315914494</v>
      </c>
      <c r="BW86" s="32">
        <v>0.97826086956521741</v>
      </c>
      <c r="BX86" s="32">
        <v>0.96214896214896217</v>
      </c>
      <c r="BY86" s="32">
        <v>0.96144578313253015</v>
      </c>
      <c r="BZ86" s="32">
        <v>0.97703325452882517</v>
      </c>
      <c r="CA86" s="32">
        <v>0.97833935018050544</v>
      </c>
      <c r="CB86" s="32">
        <v>0.99039615846338536</v>
      </c>
      <c r="CC86" s="32">
        <v>0.98674698795180726</v>
      </c>
      <c r="CD86" s="32">
        <v>0.99761051373954601</v>
      </c>
      <c r="CE86" s="32">
        <v>0.97355769230769229</v>
      </c>
      <c r="CF86" s="32">
        <v>0.97956730769230771</v>
      </c>
      <c r="CG86" s="32">
        <v>0.99038461538461542</v>
      </c>
      <c r="CH86" s="32">
        <v>0.98522894653140869</v>
      </c>
      <c r="CI86" s="32">
        <v>0.97411764705882353</v>
      </c>
      <c r="CJ86" s="32">
        <v>0.9941724941724942</v>
      </c>
      <c r="CK86" s="32">
        <v>0.98233215547703179</v>
      </c>
      <c r="CL86" s="32">
        <v>0.97887323943661975</v>
      </c>
      <c r="CM86" s="32">
        <v>0.9882075471698113</v>
      </c>
      <c r="CN86" s="32">
        <v>1</v>
      </c>
      <c r="CO86" s="32">
        <v>1</v>
      </c>
      <c r="CP86" s="32">
        <v>0.98824329761639718</v>
      </c>
      <c r="CQ86" s="32">
        <v>0.95636792452830188</v>
      </c>
      <c r="CR86" s="32">
        <v>0.98461538461538467</v>
      </c>
      <c r="CS86" s="32">
        <v>0.96812278630460447</v>
      </c>
      <c r="CT86" s="32">
        <v>0.9821428571428571</v>
      </c>
      <c r="CU86" s="32">
        <v>0.97647058823529409</v>
      </c>
      <c r="CV86" s="32">
        <v>0.99059929494712107</v>
      </c>
      <c r="CW86" s="32">
        <v>0.97396449704142007</v>
      </c>
      <c r="CX86" s="32">
        <v>0.97604047611642619</v>
      </c>
      <c r="CY86" s="32">
        <v>0.98220640569395012</v>
      </c>
      <c r="CZ86" s="32">
        <v>0.99645808736717822</v>
      </c>
      <c r="DA86" s="32">
        <v>0.99410377358490565</v>
      </c>
      <c r="DB86" s="32">
        <v>0.99296600234466592</v>
      </c>
      <c r="DC86" s="32">
        <v>0.99176470588235299</v>
      </c>
      <c r="DD86" s="32">
        <v>0.99529964747356048</v>
      </c>
      <c r="DE86" s="32">
        <v>0.99647473560517041</v>
      </c>
      <c r="DF86" s="32">
        <v>0.9927533368502548</v>
      </c>
      <c r="DG86" s="32">
        <v>0.94575471698113212</v>
      </c>
      <c r="DH86" s="32">
        <v>0.99533255542590426</v>
      </c>
      <c r="DI86" s="32">
        <v>0.97411764705882353</v>
      </c>
      <c r="DJ86" s="32">
        <v>0.98351001177856301</v>
      </c>
      <c r="DK86" s="32">
        <v>0.97992916174734357</v>
      </c>
      <c r="DL86" s="32">
        <v>1</v>
      </c>
      <c r="DM86" s="32">
        <v>0.98711943793911006</v>
      </c>
      <c r="DN86" s="32">
        <v>0.98082336156155381</v>
      </c>
      <c r="DO86" s="32">
        <v>0.99407582938388628</v>
      </c>
      <c r="DP86" s="32">
        <v>0.99058823529411766</v>
      </c>
      <c r="DQ86" s="32">
        <v>0.99172576832151305</v>
      </c>
      <c r="DR86" s="32">
        <v>0.99277978339350181</v>
      </c>
      <c r="DS86" s="32">
        <v>0.99287410926365793</v>
      </c>
      <c r="DT86" s="32">
        <v>0.98932384341637014</v>
      </c>
      <c r="DU86" s="32">
        <v>0.98699763593380618</v>
      </c>
      <c r="DV86" s="32">
        <v>0.99119502928669334</v>
      </c>
      <c r="DW86" s="32">
        <v>0.97408716136631335</v>
      </c>
      <c r="DX86" s="32">
        <v>0.98199279711884757</v>
      </c>
      <c r="DY86" s="32">
        <v>0.97754137115839246</v>
      </c>
      <c r="DZ86" s="32">
        <v>0.99177438307873089</v>
      </c>
      <c r="EA86" s="32">
        <v>0.98465171192443923</v>
      </c>
      <c r="EB86" s="32">
        <v>0.9859154929577465</v>
      </c>
      <c r="EC86" s="32">
        <v>0.99177438307873089</v>
      </c>
      <c r="ED86" s="32">
        <v>0.98396247152617156</v>
      </c>
      <c r="EE86" s="32">
        <v>0.95508274231678492</v>
      </c>
      <c r="EF86" s="32">
        <v>0.99527186761229314</v>
      </c>
      <c r="EG86" s="32">
        <v>0.96099290780141844</v>
      </c>
      <c r="EH86" s="32">
        <v>0.97284533648170013</v>
      </c>
      <c r="EI86" s="32">
        <v>0.97877358490566035</v>
      </c>
      <c r="EJ86" s="32">
        <v>0.99172576832151305</v>
      </c>
      <c r="EK86" s="32">
        <v>0.97862232779097391</v>
      </c>
      <c r="EL86" s="32">
        <v>0.97618779074719186</v>
      </c>
    </row>
    <row r="87" spans="38:142" x14ac:dyDescent="0.25">
      <c r="AL87" s="19" t="s">
        <v>291</v>
      </c>
      <c r="AM87" s="32" t="e">
        <v>#NUM!</v>
      </c>
      <c r="AN87" s="32" t="e">
        <v>#NUM!</v>
      </c>
      <c r="AO87" s="32" t="e">
        <v>#NUM!</v>
      </c>
      <c r="AP87" s="32">
        <v>0.97202797202797198</v>
      </c>
      <c r="AQ87" s="32" t="e">
        <v>#NUM!</v>
      </c>
      <c r="AR87" s="32" t="e">
        <v>#NUM!</v>
      </c>
      <c r="AS87" s="32" t="e">
        <v>#NUM!</v>
      </c>
      <c r="AT87" s="32" t="e">
        <v>#NUM!</v>
      </c>
      <c r="AU87" s="32">
        <v>0.97123893805309736</v>
      </c>
      <c r="AV87" s="32">
        <v>0.97787610619469023</v>
      </c>
      <c r="AW87" s="32">
        <v>0.86061946902654862</v>
      </c>
      <c r="AX87" s="32">
        <v>0.85780885780885785</v>
      </c>
      <c r="AY87" s="32">
        <v>0.98008849557522126</v>
      </c>
      <c r="AZ87" s="32">
        <v>0.99336283185840712</v>
      </c>
      <c r="BA87" s="32">
        <v>0.9668141592920354</v>
      </c>
      <c r="BB87" s="32">
        <v>0.94397269397269401</v>
      </c>
      <c r="BC87" s="32">
        <v>0.97142857142857142</v>
      </c>
      <c r="BD87" s="32">
        <v>0.92035398230088494</v>
      </c>
      <c r="BE87" s="32">
        <v>0.88495575221238942</v>
      </c>
      <c r="BF87" s="32">
        <v>0.8951048951048951</v>
      </c>
      <c r="BG87" s="32">
        <v>0.9913419913419913</v>
      </c>
      <c r="BH87" s="32">
        <v>0.97345132743362828</v>
      </c>
      <c r="BI87" s="32">
        <v>0.99557522123893805</v>
      </c>
      <c r="BJ87" s="32">
        <v>0.94745882015161409</v>
      </c>
      <c r="BK87" s="32">
        <v>0.84513274336283184</v>
      </c>
      <c r="BL87" s="32">
        <v>0.95353982300884954</v>
      </c>
      <c r="BM87" s="32">
        <v>0.82079646017699115</v>
      </c>
      <c r="BN87" s="32">
        <v>0.90707964601769908</v>
      </c>
      <c r="BO87" s="32">
        <v>0.76106194690265483</v>
      </c>
      <c r="BP87" s="32">
        <v>0.94026548672566368</v>
      </c>
      <c r="BQ87" s="32">
        <v>0.78097345132743368</v>
      </c>
      <c r="BR87" s="32">
        <v>0.8584070796460177</v>
      </c>
      <c r="BS87" s="32">
        <v>0.94690265486725667</v>
      </c>
      <c r="BT87" s="32">
        <v>0.97787610619469023</v>
      </c>
      <c r="BU87" s="32">
        <v>0.95353982300884954</v>
      </c>
      <c r="BV87" s="32">
        <v>0.90265486725663713</v>
      </c>
      <c r="BW87" s="32">
        <v>0.96990740740740744</v>
      </c>
      <c r="BX87" s="32">
        <v>0.94247787610619471</v>
      </c>
      <c r="BY87" s="32">
        <v>0.93473193473193472</v>
      </c>
      <c r="BZ87" s="32">
        <v>0.94687009565328151</v>
      </c>
      <c r="CA87" s="32" t="e">
        <v>#NUM!</v>
      </c>
      <c r="CB87" s="32">
        <v>0.92920353982300885</v>
      </c>
      <c r="CC87" s="32">
        <v>0.89601769911504425</v>
      </c>
      <c r="CD87" s="32">
        <v>0.99557522123893805</v>
      </c>
      <c r="CE87" s="32" t="e">
        <v>#NUM!</v>
      </c>
      <c r="CF87" s="32">
        <v>0.94247787610619471</v>
      </c>
      <c r="CG87" s="32">
        <v>0.94690265486725667</v>
      </c>
      <c r="CH87" s="32" t="e">
        <v>#NUM!</v>
      </c>
      <c r="CI87" s="32">
        <v>0.97345132743362828</v>
      </c>
      <c r="CJ87" s="32">
        <v>0.98672566371681414</v>
      </c>
      <c r="CK87" s="32">
        <v>0.92035398230088494</v>
      </c>
      <c r="CL87" s="32">
        <v>0.97787610619469023</v>
      </c>
      <c r="CM87" s="32">
        <v>0.96238938053097345</v>
      </c>
      <c r="CN87" s="32">
        <v>0.95796460176991149</v>
      </c>
      <c r="CO87" s="32">
        <v>0.98893805309734517</v>
      </c>
      <c r="CP87" s="32">
        <v>0.96681415929203529</v>
      </c>
      <c r="CQ87" s="32">
        <v>0.98230088495575218</v>
      </c>
      <c r="CR87" s="32">
        <v>0.98672566371681414</v>
      </c>
      <c r="CS87" s="32">
        <v>0.89380530973451322</v>
      </c>
      <c r="CT87" s="32">
        <v>0.94026548672566368</v>
      </c>
      <c r="CU87" s="32">
        <v>0.96460176991150437</v>
      </c>
      <c r="CV87" s="32">
        <v>0.99557522123893805</v>
      </c>
      <c r="CW87" s="32">
        <v>0.98230088495575218</v>
      </c>
      <c r="CX87" s="32">
        <v>0.96365360303413383</v>
      </c>
      <c r="CY87" s="32">
        <v>0.98672566371681414</v>
      </c>
      <c r="CZ87" s="32">
        <v>0.98451327433628322</v>
      </c>
      <c r="DA87" s="32">
        <v>0.98893805309734517</v>
      </c>
      <c r="DB87" s="32">
        <v>0.98672566371681414</v>
      </c>
      <c r="DC87" s="32">
        <v>0.97787610619469023</v>
      </c>
      <c r="DD87" s="32">
        <v>0.98451327433628322</v>
      </c>
      <c r="DE87" s="32">
        <v>0.96902654867256632</v>
      </c>
      <c r="DF87" s="32">
        <v>0.98261694058154236</v>
      </c>
      <c r="DG87" s="32">
        <v>0.98461538461538467</v>
      </c>
      <c r="DH87" s="32">
        <v>0.97123893805309736</v>
      </c>
      <c r="DI87" s="32">
        <v>0.92747252747252751</v>
      </c>
      <c r="DJ87" s="32">
        <v>0.92307692307692313</v>
      </c>
      <c r="DK87" s="32">
        <v>0.9758241758241758</v>
      </c>
      <c r="DL87" s="32">
        <v>0.99560439560439562</v>
      </c>
      <c r="DM87" s="32">
        <v>0.98241758241758237</v>
      </c>
      <c r="DN87" s="32">
        <v>0.965749989580584</v>
      </c>
      <c r="DO87" s="32">
        <v>0.96017699115044253</v>
      </c>
      <c r="DP87" s="32">
        <v>0.99340659340659343</v>
      </c>
      <c r="DQ87" s="32">
        <v>0.92920353982300885</v>
      </c>
      <c r="DR87" s="32">
        <v>0.89695550351288056</v>
      </c>
      <c r="DS87" s="32">
        <v>0.97142857142857142</v>
      </c>
      <c r="DT87" s="32">
        <v>0.97802197802197799</v>
      </c>
      <c r="DU87" s="32">
        <v>0.98021978021978018</v>
      </c>
      <c r="DV87" s="32">
        <v>0.95848756536617929</v>
      </c>
      <c r="DW87" s="32">
        <v>0.96923076923076923</v>
      </c>
      <c r="DX87" s="32">
        <v>0.98021978021978018</v>
      </c>
      <c r="DY87" s="32">
        <v>0.9516483516483516</v>
      </c>
      <c r="DZ87" s="32">
        <v>0.9375</v>
      </c>
      <c r="EA87" s="32">
        <v>0.99560439560439562</v>
      </c>
      <c r="EB87" s="32">
        <v>0.98021978021978018</v>
      </c>
      <c r="EC87" s="32">
        <v>0.97142857142857142</v>
      </c>
      <c r="ED87" s="32">
        <v>0.96940737833594981</v>
      </c>
      <c r="EE87" s="32">
        <v>0.97362637362637361</v>
      </c>
      <c r="EF87" s="32">
        <v>0.98681318681318686</v>
      </c>
      <c r="EG87" s="32">
        <v>0.93186813186813189</v>
      </c>
      <c r="EH87" s="32">
        <v>0.97471264367816091</v>
      </c>
      <c r="EI87" s="32">
        <v>0.98241758241758237</v>
      </c>
      <c r="EJ87" s="32">
        <v>0.97802197802197799</v>
      </c>
      <c r="EK87" s="32">
        <v>0.98681318681318686</v>
      </c>
      <c r="EL87" s="32">
        <v>0.9734675833198001</v>
      </c>
    </row>
    <row r="88" spans="38:142" x14ac:dyDescent="0.25">
      <c r="AL88" s="19" t="s">
        <v>139</v>
      </c>
      <c r="AM88" s="32">
        <v>0.96440129449838186</v>
      </c>
      <c r="AN88" s="32">
        <v>0.96585365853658534</v>
      </c>
      <c r="AO88" s="32">
        <v>0.9563106796116505</v>
      </c>
      <c r="AP88" s="32">
        <v>1</v>
      </c>
      <c r="AQ88" s="32">
        <v>0.92880258899676371</v>
      </c>
      <c r="AR88" s="32">
        <v>0.98867313915857602</v>
      </c>
      <c r="AS88" s="32">
        <v>0.94660194174757284</v>
      </c>
      <c r="AT88" s="32">
        <v>0.96437761464993288</v>
      </c>
      <c r="AU88" s="32">
        <v>0.97073170731707314</v>
      </c>
      <c r="AV88" s="32">
        <v>0.97222222222222221</v>
      </c>
      <c r="AW88" s="32">
        <v>0.9821428571428571</v>
      </c>
      <c r="AX88" s="32">
        <v>0.99672131147540988</v>
      </c>
      <c r="AY88" s="32">
        <v>0.93964110929853184</v>
      </c>
      <c r="AZ88" s="32">
        <v>0.9492635024549918</v>
      </c>
      <c r="BA88" s="32">
        <v>0.96579804560260585</v>
      </c>
      <c r="BB88" s="32">
        <v>0.96807439364481318</v>
      </c>
      <c r="BC88" s="32">
        <v>0.95106035889070151</v>
      </c>
      <c r="BD88" s="32">
        <v>0.97865353037766833</v>
      </c>
      <c r="BE88" s="32">
        <v>0.90196078431372551</v>
      </c>
      <c r="BF88" s="32">
        <v>0.96563011456628478</v>
      </c>
      <c r="BG88" s="32">
        <v>0.98199672667757776</v>
      </c>
      <c r="BH88" s="32">
        <v>0.93126022913256956</v>
      </c>
      <c r="BI88" s="32">
        <v>0.94069192751235586</v>
      </c>
      <c r="BJ88" s="32">
        <v>0.95017909592441174</v>
      </c>
      <c r="BK88" s="32">
        <v>0.89022298456260718</v>
      </c>
      <c r="BL88" s="32">
        <v>0.90515806988352743</v>
      </c>
      <c r="BM88" s="32">
        <v>0.93867120954003402</v>
      </c>
      <c r="BN88" s="32">
        <v>0.98175787728026531</v>
      </c>
      <c r="BO88" s="32">
        <v>0.84576271186440677</v>
      </c>
      <c r="BP88" s="32">
        <v>0.77364864864864868</v>
      </c>
      <c r="BQ88" s="32">
        <v>0.8057432432432432</v>
      </c>
      <c r="BR88" s="32">
        <v>0.87728067786039043</v>
      </c>
      <c r="BS88" s="32">
        <v>0.97840531561461797</v>
      </c>
      <c r="BT88" s="32">
        <v>0.97499999999999998</v>
      </c>
      <c r="BU88" s="32">
        <v>0.9459016393442623</v>
      </c>
      <c r="BV88" s="32">
        <v>0.99024390243902438</v>
      </c>
      <c r="BW88" s="32">
        <v>0.94224422442244227</v>
      </c>
      <c r="BX88" s="32">
        <v>0.92140468227424754</v>
      </c>
      <c r="BY88" s="32">
        <v>0.95041322314049592</v>
      </c>
      <c r="BZ88" s="32">
        <v>0.9576589981764414</v>
      </c>
      <c r="CA88" s="32">
        <v>0.9902120717781403</v>
      </c>
      <c r="CB88" s="32">
        <v>0.99509803921568629</v>
      </c>
      <c r="CC88" s="32">
        <v>0.97560975609756095</v>
      </c>
      <c r="CD88" s="32">
        <v>0.97741935483870968</v>
      </c>
      <c r="CE88" s="32">
        <v>0.96097560975609753</v>
      </c>
      <c r="CF88" s="32">
        <v>0.9917491749174917</v>
      </c>
      <c r="CG88" s="32">
        <v>0.96551724137931039</v>
      </c>
      <c r="CH88" s="32">
        <v>0.97951160685471383</v>
      </c>
      <c r="CI88" s="32">
        <v>0.95833333333333337</v>
      </c>
      <c r="CJ88" s="32">
        <v>0.97381342062193121</v>
      </c>
      <c r="CK88" s="32">
        <v>0.92026578073089704</v>
      </c>
      <c r="CL88" s="32">
        <v>0.96416938110749184</v>
      </c>
      <c r="CM88" s="32">
        <v>0.9387417218543046</v>
      </c>
      <c r="CN88" s="32">
        <v>0.95114006514657978</v>
      </c>
      <c r="CO88" s="32">
        <v>0.96217105263157898</v>
      </c>
      <c r="CP88" s="32">
        <v>0.95266210791801675</v>
      </c>
      <c r="CQ88" s="32">
        <v>0.92647058823529416</v>
      </c>
      <c r="CR88" s="32">
        <v>0.95292207792207795</v>
      </c>
      <c r="CS88" s="32">
        <v>0.96072013093289688</v>
      </c>
      <c r="CT88" s="32">
        <v>0.98541329011345213</v>
      </c>
      <c r="CU88" s="32">
        <v>0.94290375203915167</v>
      </c>
      <c r="CV88" s="32">
        <v>0.94108019639934537</v>
      </c>
      <c r="CW88" s="32">
        <v>0.96585365853658534</v>
      </c>
      <c r="CX88" s="32">
        <v>0.95362338488268605</v>
      </c>
      <c r="CY88" s="32">
        <v>0.95090016366612107</v>
      </c>
      <c r="CZ88" s="32">
        <v>0.99189627228525123</v>
      </c>
      <c r="DA88" s="32">
        <v>0.95333333333333337</v>
      </c>
      <c r="DB88" s="32">
        <v>0.98013245033112584</v>
      </c>
      <c r="DC88" s="32">
        <v>0.98538961038961037</v>
      </c>
      <c r="DD88" s="32">
        <v>0.96900489396411094</v>
      </c>
      <c r="DE88" s="32">
        <v>0.97564935064935066</v>
      </c>
      <c r="DF88" s="32">
        <v>0.97232943923127191</v>
      </c>
      <c r="DG88" s="32">
        <v>0.89983579638752054</v>
      </c>
      <c r="DH88" s="32">
        <v>0.97073170731707314</v>
      </c>
      <c r="DI88" s="32">
        <v>0.91447368421052633</v>
      </c>
      <c r="DJ88" s="32">
        <v>0.97568881685575359</v>
      </c>
      <c r="DK88" s="32">
        <v>0.91247974068071314</v>
      </c>
      <c r="DL88" s="32">
        <v>0.9692058346839546</v>
      </c>
      <c r="DM88" s="32">
        <v>0.95299837925445707</v>
      </c>
      <c r="DN88" s="32">
        <v>0.9422019941985712</v>
      </c>
      <c r="DO88" s="32">
        <v>0.92144026186579375</v>
      </c>
      <c r="DP88" s="32">
        <v>0.98865478119935168</v>
      </c>
      <c r="DQ88" s="32">
        <v>0.93780687397708673</v>
      </c>
      <c r="DR88" s="32">
        <v>0.97368421052631582</v>
      </c>
      <c r="DS88" s="32">
        <v>0.94489465153970831</v>
      </c>
      <c r="DT88" s="32">
        <v>0.97572815533980584</v>
      </c>
      <c r="DU88" s="32">
        <v>0.9285714285714286</v>
      </c>
      <c r="DV88" s="32">
        <v>0.95296862328849863</v>
      </c>
      <c r="DW88" s="32">
        <v>0.94779771615008157</v>
      </c>
      <c r="DX88" s="32">
        <v>0.97039473684210531</v>
      </c>
      <c r="DY88" s="32">
        <v>0.96247960848287117</v>
      </c>
      <c r="DZ88" s="32">
        <v>0.98363338788870702</v>
      </c>
      <c r="EA88" s="32">
        <v>0.95269168026101136</v>
      </c>
      <c r="EB88" s="32">
        <v>0.9673202614379085</v>
      </c>
      <c r="EC88" s="32">
        <v>0.94088669950738912</v>
      </c>
      <c r="ED88" s="32">
        <v>0.96074344151001057</v>
      </c>
      <c r="EE88" s="32">
        <v>0.95299837925445707</v>
      </c>
      <c r="EF88" s="32">
        <v>1</v>
      </c>
      <c r="EG88" s="32">
        <v>0.96601941747572817</v>
      </c>
      <c r="EH88" s="32">
        <v>0.96763754045307449</v>
      </c>
      <c r="EI88" s="32">
        <v>0.97896440129449835</v>
      </c>
      <c r="EJ88" s="32">
        <v>0.99352750809061485</v>
      </c>
      <c r="EK88" s="32">
        <v>0.97603833865814693</v>
      </c>
      <c r="EL88" s="32">
        <v>0.97645508360378841</v>
      </c>
    </row>
    <row r="89" spans="38:142" x14ac:dyDescent="0.25">
      <c r="AL89" s="19" t="s">
        <v>140</v>
      </c>
      <c r="AM89" s="32">
        <v>0.90061349693251536</v>
      </c>
      <c r="AN89" s="32">
        <v>0.94275274056029235</v>
      </c>
      <c r="AO89" s="32">
        <v>0.90184049079754602</v>
      </c>
      <c r="AP89" s="32">
        <v>0.92024539877300615</v>
      </c>
      <c r="AQ89" s="32">
        <v>0.93333333333333335</v>
      </c>
      <c r="AR89" s="32">
        <v>0.93619631901840494</v>
      </c>
      <c r="AS89" s="32">
        <v>0.92760736196319016</v>
      </c>
      <c r="AT89" s="32">
        <v>0.92322702019689828</v>
      </c>
      <c r="AU89" s="32">
        <v>0.89570552147239269</v>
      </c>
      <c r="AV89" s="32">
        <v>0.94275274056029235</v>
      </c>
      <c r="AW89" s="32">
        <v>0.90552147239263803</v>
      </c>
      <c r="AX89" s="32">
        <v>0.92638036809815949</v>
      </c>
      <c r="AY89" s="32">
        <v>0.92269938650306749</v>
      </c>
      <c r="AZ89" s="32">
        <v>0.92063492063492058</v>
      </c>
      <c r="BA89" s="32">
        <v>0.90797546012269936</v>
      </c>
      <c r="BB89" s="32">
        <v>0.91738140996916706</v>
      </c>
      <c r="BC89" s="32">
        <v>0.90875462392108508</v>
      </c>
      <c r="BD89" s="32">
        <v>0.92691839220462846</v>
      </c>
      <c r="BE89" s="32">
        <v>0.90852904820766378</v>
      </c>
      <c r="BF89" s="32">
        <v>0.90429447852760736</v>
      </c>
      <c r="BG89" s="32">
        <v>0.93984962406015038</v>
      </c>
      <c r="BH89" s="32">
        <v>0.9719853836784409</v>
      </c>
      <c r="BI89" s="32">
        <v>0.92813641900121802</v>
      </c>
      <c r="BJ89" s="32">
        <v>0.92692399565725636</v>
      </c>
      <c r="BK89" s="32">
        <v>0.85463659147869675</v>
      </c>
      <c r="BL89" s="32">
        <v>0.90061349693251536</v>
      </c>
      <c r="BM89" s="32">
        <v>0.8721804511278195</v>
      </c>
      <c r="BN89" s="32">
        <v>0.89223057644110271</v>
      </c>
      <c r="BO89" s="32">
        <v>0.84837092731829578</v>
      </c>
      <c r="BP89" s="32">
        <v>0.7807017543859649</v>
      </c>
      <c r="BQ89" s="32">
        <v>0.81829573934837097</v>
      </c>
      <c r="BR89" s="32">
        <v>0.85243279100468083</v>
      </c>
      <c r="BS89" s="32">
        <v>0.90977443609022557</v>
      </c>
      <c r="BT89" s="32">
        <v>0.89800995024875618</v>
      </c>
      <c r="BU89" s="32">
        <v>0.91228070175438591</v>
      </c>
      <c r="BV89" s="32">
        <v>0.91729323308270672</v>
      </c>
      <c r="BW89" s="32">
        <v>0.89642416769420463</v>
      </c>
      <c r="BX89" s="32">
        <v>0.87468671679197996</v>
      </c>
      <c r="BY89" s="32">
        <v>0.89192546583850929</v>
      </c>
      <c r="BZ89" s="32">
        <v>0.90005638164296697</v>
      </c>
      <c r="CA89" s="32">
        <v>0.90726817042606511</v>
      </c>
      <c r="CB89" s="32">
        <v>0.91484184914841848</v>
      </c>
      <c r="CC89" s="32">
        <v>0.90726817042606511</v>
      </c>
      <c r="CD89" s="32">
        <v>0.90184049079754602</v>
      </c>
      <c r="CE89" s="32">
        <v>0.91108404384896469</v>
      </c>
      <c r="CF89" s="32">
        <v>0.91119221411192219</v>
      </c>
      <c r="CG89" s="32">
        <v>0.91829268292682931</v>
      </c>
      <c r="CH89" s="32">
        <v>0.91025537452654437</v>
      </c>
      <c r="CI89" s="32">
        <v>0.8721804511278195</v>
      </c>
      <c r="CJ89" s="32">
        <v>0.91533742331288348</v>
      </c>
      <c r="CK89" s="32">
        <v>0.85398773006134965</v>
      </c>
      <c r="CL89" s="32">
        <v>0.85398773006134965</v>
      </c>
      <c r="CM89" s="32">
        <v>0.90920245398773003</v>
      </c>
      <c r="CN89" s="32">
        <v>0.90920245398773003</v>
      </c>
      <c r="CO89" s="32">
        <v>0.90920245398773003</v>
      </c>
      <c r="CP89" s="32">
        <v>0.88901438521808451</v>
      </c>
      <c r="CQ89" s="32">
        <v>0.87950310559006206</v>
      </c>
      <c r="CR89" s="32">
        <v>0.90061349693251536</v>
      </c>
      <c r="CS89" s="32">
        <v>0.90377588306942758</v>
      </c>
      <c r="CT89" s="32">
        <v>0.91330891330891328</v>
      </c>
      <c r="CU89" s="32">
        <v>0.8854679802955665</v>
      </c>
      <c r="CV89" s="32">
        <v>0.90920245398773003</v>
      </c>
      <c r="CW89" s="32">
        <v>0.91656441717791415</v>
      </c>
      <c r="CX89" s="32">
        <v>0.9012051786231613</v>
      </c>
      <c r="CY89" s="32">
        <v>0.90909090909090906</v>
      </c>
      <c r="CZ89" s="32">
        <v>0.93422655298416568</v>
      </c>
      <c r="DA89" s="32">
        <v>0.9002433090024331</v>
      </c>
      <c r="DB89" s="32">
        <v>0.91463414634146345</v>
      </c>
      <c r="DC89" s="32">
        <v>0.90697674418604646</v>
      </c>
      <c r="DD89" s="32">
        <v>0.91961023142509135</v>
      </c>
      <c r="DE89" s="32">
        <v>0.90318627450980393</v>
      </c>
      <c r="DF89" s="32">
        <v>0.91256688107713047</v>
      </c>
      <c r="DG89" s="32">
        <v>0.87856257744733579</v>
      </c>
      <c r="DH89" s="32">
        <v>0.9193154034229829</v>
      </c>
      <c r="DI89" s="32">
        <v>0.8972772277227723</v>
      </c>
      <c r="DJ89" s="32">
        <v>0.92481203007518797</v>
      </c>
      <c r="DK89" s="32">
        <v>0.90377588306942758</v>
      </c>
      <c r="DL89" s="32">
        <v>0.89878048780487807</v>
      </c>
      <c r="DM89" s="32">
        <v>0.91176470588235292</v>
      </c>
      <c r="DN89" s="32">
        <v>0.90489833077499104</v>
      </c>
      <c r="DO89" s="32">
        <v>0.9235588972431078</v>
      </c>
      <c r="DP89" s="32">
        <v>0.91717417783191235</v>
      </c>
      <c r="DQ89" s="32">
        <v>0.94736842105263153</v>
      </c>
      <c r="DR89" s="32">
        <v>0.97619047619047616</v>
      </c>
      <c r="DS89" s="32">
        <v>0.92918192918192921</v>
      </c>
      <c r="DT89" s="32">
        <v>0.92997542997542992</v>
      </c>
      <c r="DU89" s="32">
        <v>0.91352009744214369</v>
      </c>
      <c r="DV89" s="32">
        <v>0.93385277555966162</v>
      </c>
      <c r="DW89" s="32">
        <v>0.91277641277641275</v>
      </c>
      <c r="DX89" s="32">
        <v>0.92682926829268297</v>
      </c>
      <c r="DY89" s="32">
        <v>0.91829268292682931</v>
      </c>
      <c r="DZ89" s="32">
        <v>0.92092457420924578</v>
      </c>
      <c r="EA89" s="32">
        <v>0.90377588306942758</v>
      </c>
      <c r="EB89" s="32">
        <v>0.92317073170731712</v>
      </c>
      <c r="EC89" s="32">
        <v>0.90853658536585369</v>
      </c>
      <c r="ED89" s="32">
        <v>0.91632944833539554</v>
      </c>
      <c r="EE89" s="32">
        <v>0.89890377588306947</v>
      </c>
      <c r="EF89" s="32">
        <v>0.93430656934306566</v>
      </c>
      <c r="EG89" s="32">
        <v>0.91979949874686717</v>
      </c>
      <c r="EH89" s="32">
        <v>0.92647058823529416</v>
      </c>
      <c r="EI89" s="32">
        <v>0.91473812423873324</v>
      </c>
      <c r="EJ89" s="32">
        <v>0.91961023142509135</v>
      </c>
      <c r="EK89" s="32">
        <v>0.91961023142509135</v>
      </c>
      <c r="EL89" s="32">
        <v>0.91906271704245879</v>
      </c>
    </row>
    <row r="90" spans="38:142" x14ac:dyDescent="0.25">
      <c r="AL90" s="19" t="s">
        <v>141</v>
      </c>
      <c r="AM90" s="32">
        <v>0.9441624365482234</v>
      </c>
      <c r="AN90" s="32">
        <v>0.9719626168224299</v>
      </c>
      <c r="AO90" s="32">
        <v>0.91099476439790572</v>
      </c>
      <c r="AP90" s="32">
        <v>0.96132596685082872</v>
      </c>
      <c r="AQ90" s="32">
        <v>0.98250000000000004</v>
      </c>
      <c r="AR90" s="32">
        <v>0.98750000000000004</v>
      </c>
      <c r="AS90" s="32">
        <v>0.97984886649874059</v>
      </c>
      <c r="AT90" s="32">
        <v>0.96261352158830404</v>
      </c>
      <c r="AU90" s="32">
        <v>0.94235588972431072</v>
      </c>
      <c r="AV90" s="32">
        <v>0.94373401534526857</v>
      </c>
      <c r="AW90" s="32">
        <v>0.92875318066157764</v>
      </c>
      <c r="AX90" s="32">
        <v>0.93947368421052635</v>
      </c>
      <c r="AY90" s="32">
        <v>0.97487437185929648</v>
      </c>
      <c r="AZ90" s="32">
        <v>0.95526315789473681</v>
      </c>
      <c r="BA90" s="32">
        <v>0.97549019607843135</v>
      </c>
      <c r="BB90" s="32">
        <v>0.95142064225344958</v>
      </c>
      <c r="BC90" s="32">
        <v>0.98165137614678899</v>
      </c>
      <c r="BD90" s="32">
        <v>0.97193877551020413</v>
      </c>
      <c r="BE90" s="32">
        <v>0.95784543325526927</v>
      </c>
      <c r="BF90" s="32">
        <v>0.96181384248210022</v>
      </c>
      <c r="BG90" s="32">
        <v>0.97974683544303798</v>
      </c>
      <c r="BH90" s="32">
        <v>0.96899224806201545</v>
      </c>
      <c r="BI90" s="32">
        <v>0.98227848101265824</v>
      </c>
      <c r="BJ90" s="32">
        <v>0.97203814170172487</v>
      </c>
      <c r="BK90" s="32">
        <v>0.96889952153110048</v>
      </c>
      <c r="BL90" s="32">
        <v>0.97804878048780486</v>
      </c>
      <c r="BM90" s="32">
        <v>0.99292452830188682</v>
      </c>
      <c r="BN90" s="32">
        <v>0.98826291079812212</v>
      </c>
      <c r="BO90" s="32">
        <v>0.92695214105793455</v>
      </c>
      <c r="BP90" s="32">
        <v>0.86582278481012653</v>
      </c>
      <c r="BQ90" s="32">
        <v>0.88860759493670882</v>
      </c>
      <c r="BR90" s="32">
        <v>0.94421689456052627</v>
      </c>
      <c r="BS90" s="32">
        <v>0.94022988505747129</v>
      </c>
      <c r="BT90" s="32">
        <v>0.97949886104783601</v>
      </c>
      <c r="BU90" s="32">
        <v>0.94570135746606332</v>
      </c>
      <c r="BV90" s="32">
        <v>0.97505668934240364</v>
      </c>
      <c r="BW90" s="32">
        <v>0.98444444444444446</v>
      </c>
      <c r="BX90" s="32">
        <v>0.9789719626168224</v>
      </c>
      <c r="BY90" s="32">
        <v>0.97906976744186047</v>
      </c>
      <c r="BZ90" s="32">
        <v>0.96899613820241448</v>
      </c>
      <c r="CA90" s="32">
        <v>0.97608695652173916</v>
      </c>
      <c r="CB90" s="32">
        <v>0.98253275109170302</v>
      </c>
      <c r="CC90" s="32">
        <v>0.96868008948545858</v>
      </c>
      <c r="CD90" s="32">
        <v>0.98910675381263613</v>
      </c>
      <c r="CE90" s="32">
        <v>0.98709677419354835</v>
      </c>
      <c r="CF90" s="32">
        <v>0.99120879120879124</v>
      </c>
      <c r="CG90" s="32">
        <v>0.99141630901287559</v>
      </c>
      <c r="CH90" s="32">
        <v>0.9837326321895361</v>
      </c>
      <c r="CI90" s="32">
        <v>0.98034934497816595</v>
      </c>
      <c r="CJ90" s="32">
        <v>0.99342105263157898</v>
      </c>
      <c r="CK90" s="32">
        <v>0.94877505567928733</v>
      </c>
      <c r="CL90" s="32">
        <v>0.9978070175438597</v>
      </c>
      <c r="CM90" s="32">
        <v>0.99354838709677418</v>
      </c>
      <c r="CN90" s="32">
        <v>1</v>
      </c>
      <c r="CO90" s="32">
        <v>0.99782608695652175</v>
      </c>
      <c r="CP90" s="32">
        <v>0.98738956355516971</v>
      </c>
      <c r="CQ90" s="32">
        <v>0.93071593533487296</v>
      </c>
      <c r="CR90" s="32">
        <v>0.96188340807174888</v>
      </c>
      <c r="CS90" s="32">
        <v>0.92237442922374424</v>
      </c>
      <c r="CT90" s="32">
        <v>0.93150684931506844</v>
      </c>
      <c r="CU90" s="32">
        <v>0.96860986547085204</v>
      </c>
      <c r="CV90" s="32">
        <v>1</v>
      </c>
      <c r="CW90" s="32">
        <v>0.96171171171171166</v>
      </c>
      <c r="CX90" s="32">
        <v>0.95382888558971402</v>
      </c>
      <c r="CY90" s="32">
        <v>0.97613882863340562</v>
      </c>
      <c r="CZ90" s="32">
        <v>0.99120879120879124</v>
      </c>
      <c r="DA90" s="32">
        <v>0.98474945533769065</v>
      </c>
      <c r="DB90" s="32">
        <v>0.98715203426124198</v>
      </c>
      <c r="DC90" s="32">
        <v>0.98706896551724133</v>
      </c>
      <c r="DD90" s="32">
        <v>0.96162528216704291</v>
      </c>
      <c r="DE90" s="32">
        <v>0.97142857142857142</v>
      </c>
      <c r="DF90" s="32">
        <v>0.97991027550771215</v>
      </c>
      <c r="DG90" s="32">
        <v>0.95622119815668205</v>
      </c>
      <c r="DH90" s="32">
        <v>0.99790356394129975</v>
      </c>
      <c r="DI90" s="32">
        <v>0.87810383747178333</v>
      </c>
      <c r="DJ90" s="32">
        <v>0.98598130841121501</v>
      </c>
      <c r="DK90" s="32">
        <v>0.98468271334792123</v>
      </c>
      <c r="DL90" s="32">
        <v>0.99783549783549785</v>
      </c>
      <c r="DM90" s="32">
        <v>0.97816593886462877</v>
      </c>
      <c r="DN90" s="32">
        <v>0.96841343686128967</v>
      </c>
      <c r="DO90" s="32">
        <v>0.9642857142857143</v>
      </c>
      <c r="DP90" s="32">
        <v>0.98454746136865345</v>
      </c>
      <c r="DQ90" s="32">
        <v>0.93243243243243246</v>
      </c>
      <c r="DR90" s="32">
        <v>0.95871559633027525</v>
      </c>
      <c r="DS90" s="32">
        <v>0.98458149779735682</v>
      </c>
      <c r="DT90" s="32">
        <v>0.97072072072072069</v>
      </c>
      <c r="DU90" s="32">
        <v>0.95973154362416102</v>
      </c>
      <c r="DV90" s="32">
        <v>0.96500213807990198</v>
      </c>
      <c r="DW90" s="32">
        <v>0.93891402714932126</v>
      </c>
      <c r="DX90" s="32">
        <v>0.95078299776286357</v>
      </c>
      <c r="DY90" s="32">
        <v>0.93891402714932126</v>
      </c>
      <c r="DZ90" s="32">
        <v>0.96644295302013428</v>
      </c>
      <c r="EA90" s="32">
        <v>0.93877551020408168</v>
      </c>
      <c r="EB90" s="32">
        <v>0.90681818181818186</v>
      </c>
      <c r="EC90" s="32">
        <v>0.95730337078651684</v>
      </c>
      <c r="ED90" s="32">
        <v>0.94256443827006009</v>
      </c>
      <c r="EE90" s="32">
        <v>0.95730337078651684</v>
      </c>
      <c r="EF90" s="32">
        <v>0.95343680709534373</v>
      </c>
      <c r="EG90" s="32">
        <v>0.93378995433789957</v>
      </c>
      <c r="EH90" s="32">
        <v>0.9504504504504504</v>
      </c>
      <c r="EI90" s="32">
        <v>0.9665178571428571</v>
      </c>
      <c r="EJ90" s="32">
        <v>0.98004434589800449</v>
      </c>
      <c r="EK90" s="32">
        <v>0.96644295302013428</v>
      </c>
      <c r="EL90" s="32">
        <v>0.95828367696160099</v>
      </c>
    </row>
    <row r="91" spans="38:142" x14ac:dyDescent="0.25">
      <c r="AL91" s="19" t="s">
        <v>142</v>
      </c>
      <c r="AM91" s="32">
        <v>0.96568627450980393</v>
      </c>
      <c r="AN91" s="32">
        <v>0.94444444444444442</v>
      </c>
      <c r="AO91" s="32">
        <v>0.96568627450980393</v>
      </c>
      <c r="AP91" s="32">
        <v>0.98032786885245904</v>
      </c>
      <c r="AQ91" s="32">
        <v>0.96568627450980393</v>
      </c>
      <c r="AR91" s="32">
        <v>0.96895424836601307</v>
      </c>
      <c r="AS91" s="32">
        <v>0.96579804560260585</v>
      </c>
      <c r="AT91" s="32">
        <v>0.96522620439927631</v>
      </c>
      <c r="AU91" s="32">
        <v>0.98529411764705888</v>
      </c>
      <c r="AV91" s="32">
        <v>0.98202614379084963</v>
      </c>
      <c r="AW91" s="32">
        <v>0.97893030794165314</v>
      </c>
      <c r="AX91" s="32">
        <v>0.98392282958199362</v>
      </c>
      <c r="AY91" s="32">
        <v>0.97875816993464049</v>
      </c>
      <c r="AZ91" s="32">
        <v>0.98692810457516345</v>
      </c>
      <c r="BA91" s="32">
        <v>0.98692810457516345</v>
      </c>
      <c r="BB91" s="32">
        <v>0.98325539686378904</v>
      </c>
      <c r="BC91" s="32">
        <v>0.99347471451876024</v>
      </c>
      <c r="BD91" s="32">
        <v>0.98392282958199362</v>
      </c>
      <c r="BE91" s="32">
        <v>0.99347471451876024</v>
      </c>
      <c r="BF91" s="32">
        <v>0.95409836065573772</v>
      </c>
      <c r="BG91" s="32">
        <v>0.99347471451876024</v>
      </c>
      <c r="BH91" s="32">
        <v>0.98392282958199362</v>
      </c>
      <c r="BI91" s="32">
        <v>0.99507389162561577</v>
      </c>
      <c r="BJ91" s="32">
        <v>0.98534886500023167</v>
      </c>
      <c r="BK91" s="32">
        <v>0.93442622950819676</v>
      </c>
      <c r="BL91" s="32">
        <v>0.9278688524590164</v>
      </c>
      <c r="BM91" s="32">
        <v>0.95081967213114749</v>
      </c>
      <c r="BN91" s="32">
        <v>0.95230263157894735</v>
      </c>
      <c r="BO91" s="32">
        <v>0.93069306930693074</v>
      </c>
      <c r="BP91" s="32">
        <v>0.9278688524590164</v>
      </c>
      <c r="BQ91" s="32">
        <v>0.9278688524590164</v>
      </c>
      <c r="BR91" s="32">
        <v>0.93597830855746722</v>
      </c>
      <c r="BS91" s="32">
        <v>0.97029702970297027</v>
      </c>
      <c r="BT91" s="32">
        <v>0.96241830065359479</v>
      </c>
      <c r="BU91" s="32">
        <v>0.97029702970297027</v>
      </c>
      <c r="BV91" s="32">
        <v>0.94389438943894388</v>
      </c>
      <c r="BW91" s="32">
        <v>0.97029702970297027</v>
      </c>
      <c r="BX91" s="32">
        <v>0.90327868852459015</v>
      </c>
      <c r="BY91" s="32">
        <v>0.97039473684210531</v>
      </c>
      <c r="BZ91" s="32">
        <v>0.9558396006525921</v>
      </c>
      <c r="CA91" s="32">
        <v>0.91133004926108374</v>
      </c>
      <c r="CB91" s="32">
        <v>0.93924466338259438</v>
      </c>
      <c r="CC91" s="32">
        <v>0.91147540983606556</v>
      </c>
      <c r="CD91" s="32">
        <v>0.91147540983606556</v>
      </c>
      <c r="CE91" s="32">
        <v>0.91653027823240585</v>
      </c>
      <c r="CF91" s="32">
        <v>0.93924466338259438</v>
      </c>
      <c r="CG91" s="32">
        <v>0.9474548440065681</v>
      </c>
      <c r="CH91" s="32">
        <v>0.92525075970533965</v>
      </c>
      <c r="CI91" s="32">
        <v>0.97244732576985415</v>
      </c>
      <c r="CJ91" s="32">
        <v>0.94568690095846641</v>
      </c>
      <c r="CK91" s="32">
        <v>0.97240259740259738</v>
      </c>
      <c r="CL91" s="32">
        <v>0.97226753670473087</v>
      </c>
      <c r="CM91" s="32">
        <v>0.97249190938511332</v>
      </c>
      <c r="CN91" s="32">
        <v>0.95</v>
      </c>
      <c r="CO91" s="32">
        <v>0.97266881028938912</v>
      </c>
      <c r="CP91" s="32">
        <v>0.96542358293002162</v>
      </c>
      <c r="CQ91" s="32">
        <v>0.94417077175697861</v>
      </c>
      <c r="CR91" s="32">
        <v>0.97249190938511332</v>
      </c>
      <c r="CS91" s="32">
        <v>0.94417077175697861</v>
      </c>
      <c r="CT91" s="32">
        <v>0.94417077175697861</v>
      </c>
      <c r="CU91" s="32">
        <v>0.93954248366013071</v>
      </c>
      <c r="CV91" s="32">
        <v>0.90849673202614378</v>
      </c>
      <c r="CW91" s="32">
        <v>0.94771241830065356</v>
      </c>
      <c r="CX91" s="32">
        <v>0.94296512266328247</v>
      </c>
      <c r="CY91" s="32">
        <v>0.97389885807504073</v>
      </c>
      <c r="CZ91" s="32">
        <v>0.95417348608837971</v>
      </c>
      <c r="DA91" s="32">
        <v>0.96737357259380097</v>
      </c>
      <c r="DB91" s="32">
        <v>0.94951140065146578</v>
      </c>
      <c r="DC91" s="32">
        <v>0.96940418679549112</v>
      </c>
      <c r="DD91" s="32">
        <v>0.95454545454545459</v>
      </c>
      <c r="DE91" s="32">
        <v>0.97258064516129028</v>
      </c>
      <c r="DF91" s="32">
        <v>0.9630696577015605</v>
      </c>
      <c r="DG91" s="32">
        <v>0.93780687397708673</v>
      </c>
      <c r="DH91" s="32">
        <v>0.96302250803858525</v>
      </c>
      <c r="DI91" s="32">
        <v>0.934640522875817</v>
      </c>
      <c r="DJ91" s="32">
        <v>0.93355481727574752</v>
      </c>
      <c r="DK91" s="32">
        <v>0.96534653465346532</v>
      </c>
      <c r="DL91" s="32">
        <v>0.96254071661237783</v>
      </c>
      <c r="DM91" s="32">
        <v>0.9626016260162602</v>
      </c>
      <c r="DN91" s="32">
        <v>0.95135908563562011</v>
      </c>
      <c r="DO91" s="32">
        <v>0.88778877887788776</v>
      </c>
      <c r="DP91" s="32">
        <v>0.93355481727574752</v>
      </c>
      <c r="DQ91" s="32">
        <v>0.88778877887788776</v>
      </c>
      <c r="DR91" s="32">
        <v>0.93267651888341541</v>
      </c>
      <c r="DS91" s="32">
        <v>0.88778877887788776</v>
      </c>
      <c r="DT91" s="32">
        <v>0.91749174917491749</v>
      </c>
      <c r="DU91" s="32">
        <v>0.90759075907590758</v>
      </c>
      <c r="DV91" s="32">
        <v>0.90781145443480749</v>
      </c>
      <c r="DW91" s="32">
        <v>0.91082802547770703</v>
      </c>
      <c r="DX91" s="32">
        <v>0.93300653594771243</v>
      </c>
      <c r="DY91" s="32">
        <v>0.92185007974481659</v>
      </c>
      <c r="DZ91" s="32">
        <v>0.93245469522240532</v>
      </c>
      <c r="EA91" s="32">
        <v>0.9216965742251223</v>
      </c>
      <c r="EB91" s="32">
        <v>0.91612903225806452</v>
      </c>
      <c r="EC91" s="32">
        <v>0.94599018003273327</v>
      </c>
      <c r="ED91" s="32">
        <v>0.92599358898693751</v>
      </c>
      <c r="EE91" s="32">
        <v>0.91461412151067323</v>
      </c>
      <c r="EF91" s="32">
        <v>0.93770491803278688</v>
      </c>
      <c r="EG91" s="32">
        <v>0.9278688524590164</v>
      </c>
      <c r="EH91" s="32">
        <v>0.9443535188216039</v>
      </c>
      <c r="EI91" s="32">
        <v>0.9464285714285714</v>
      </c>
      <c r="EJ91" s="32">
        <v>0.93770491803278688</v>
      </c>
      <c r="EK91" s="32">
        <v>0.93399339933993397</v>
      </c>
      <c r="EL91" s="32">
        <v>0.93466689994648178</v>
      </c>
    </row>
    <row r="92" spans="38:142" x14ac:dyDescent="0.25">
      <c r="AL92" s="19" t="s">
        <v>143</v>
      </c>
      <c r="AM92" s="32">
        <v>0.83453237410071945</v>
      </c>
      <c r="AN92" s="32">
        <v>0.80555555555555558</v>
      </c>
      <c r="AO92" s="32">
        <v>0.70547945205479456</v>
      </c>
      <c r="AP92" s="32">
        <v>0.81632653061224492</v>
      </c>
      <c r="AQ92" s="32">
        <v>0.78767123287671237</v>
      </c>
      <c r="AR92" s="32">
        <v>0.86</v>
      </c>
      <c r="AS92" s="32">
        <v>0.82191780821917804</v>
      </c>
      <c r="AT92" s="32">
        <v>0.80449756477417211</v>
      </c>
      <c r="AU92" s="32">
        <v>0.74825174825174823</v>
      </c>
      <c r="AV92" s="32">
        <v>0.88356164383561642</v>
      </c>
      <c r="AW92" s="32">
        <v>0.65517241379310343</v>
      </c>
      <c r="AX92" s="32">
        <v>0.69863013698630139</v>
      </c>
      <c r="AY92" s="32">
        <v>0.79452054794520544</v>
      </c>
      <c r="AZ92" s="32">
        <v>0.80136986301369861</v>
      </c>
      <c r="BA92" s="32">
        <v>0.84931506849315064</v>
      </c>
      <c r="BB92" s="32">
        <v>0.77583163175983194</v>
      </c>
      <c r="BC92" s="32">
        <v>0.66896551724137931</v>
      </c>
      <c r="BD92" s="32">
        <v>0.7448275862068966</v>
      </c>
      <c r="BE92" s="32">
        <v>0.64827586206896548</v>
      </c>
      <c r="BF92" s="32">
        <v>0.59863945578231292</v>
      </c>
      <c r="BG92" s="32">
        <v>0.69178082191780821</v>
      </c>
      <c r="BH92" s="32">
        <v>0.82876712328767121</v>
      </c>
      <c r="BI92" s="32">
        <v>0.76712328767123283</v>
      </c>
      <c r="BJ92" s="32">
        <v>0.70691137916803803</v>
      </c>
      <c r="BK92" s="32">
        <v>0.46527777777777779</v>
      </c>
      <c r="BL92" s="32">
        <v>0.5625</v>
      </c>
      <c r="BM92" s="32">
        <v>0.42857142857142855</v>
      </c>
      <c r="BN92" s="32">
        <v>0.48965517241379308</v>
      </c>
      <c r="BO92" s="32">
        <v>0.4513888888888889</v>
      </c>
      <c r="BP92" s="32">
        <v>0.36551724137931035</v>
      </c>
      <c r="BQ92" s="32">
        <v>0.42465753424657532</v>
      </c>
      <c r="BR92" s="32">
        <v>0.45536686332539622</v>
      </c>
      <c r="BS92" s="32">
        <v>0.63265306122448983</v>
      </c>
      <c r="BT92" s="32">
        <v>0.57534246575342463</v>
      </c>
      <c r="BU92" s="32">
        <v>0.59310344827586203</v>
      </c>
      <c r="BV92" s="32">
        <v>0.62142857142857144</v>
      </c>
      <c r="BW92" s="32">
        <v>0.61224489795918369</v>
      </c>
      <c r="BX92" s="32">
        <v>0.6223776223776224</v>
      </c>
      <c r="BY92" s="32">
        <v>0.59183673469387754</v>
      </c>
      <c r="BZ92" s="32">
        <v>0.60699811453043306</v>
      </c>
      <c r="CA92" s="32">
        <v>0.74305555555555558</v>
      </c>
      <c r="CB92" s="32">
        <v>0.7142857142857143</v>
      </c>
      <c r="CC92" s="32">
        <v>0.65306122448979587</v>
      </c>
      <c r="CD92" s="32">
        <v>0.64383561643835618</v>
      </c>
      <c r="CE92" s="32">
        <v>0.5821917808219178</v>
      </c>
      <c r="CF92" s="32">
        <v>0.66666666666666663</v>
      </c>
      <c r="CG92" s="32">
        <v>0.74657534246575341</v>
      </c>
      <c r="CH92" s="32">
        <v>0.67852455724625138</v>
      </c>
      <c r="CI92" s="32">
        <v>0.69230769230769229</v>
      </c>
      <c r="CJ92" s="32">
        <v>0.73287671232876717</v>
      </c>
      <c r="CK92" s="32">
        <v>0.58041958041958042</v>
      </c>
      <c r="CL92" s="32">
        <v>0.5714285714285714</v>
      </c>
      <c r="CM92" s="32">
        <v>0.74149659863945583</v>
      </c>
      <c r="CN92" s="32">
        <v>0.77551020408163263</v>
      </c>
      <c r="CO92" s="32">
        <v>0.76870748299319724</v>
      </c>
      <c r="CP92" s="32">
        <v>0.69467812031412812</v>
      </c>
      <c r="CQ92" s="32">
        <v>0.68965517241379315</v>
      </c>
      <c r="CR92" s="32">
        <v>0.74149659863945583</v>
      </c>
      <c r="CS92" s="32">
        <v>0.72789115646258506</v>
      </c>
      <c r="CT92" s="32">
        <v>0.69387755102040816</v>
      </c>
      <c r="CU92" s="32">
        <v>0.79452054794520544</v>
      </c>
      <c r="CV92" s="32">
        <v>0.74829931972789121</v>
      </c>
      <c r="CW92" s="32">
        <v>0.74657534246575341</v>
      </c>
      <c r="CX92" s="32">
        <v>0.73461652695358459</v>
      </c>
      <c r="CY92" s="32">
        <v>0.8920863309352518</v>
      </c>
      <c r="CZ92" s="32">
        <v>0.77551020408163263</v>
      </c>
      <c r="DA92" s="32">
        <v>0.70547945205479456</v>
      </c>
      <c r="DB92" s="32">
        <v>0.75510204081632648</v>
      </c>
      <c r="DC92" s="32">
        <v>0.89655172413793105</v>
      </c>
      <c r="DD92" s="32">
        <v>0.80272108843537415</v>
      </c>
      <c r="DE92" s="32">
        <v>0.84768211920529801</v>
      </c>
      <c r="DF92" s="32">
        <v>0.81073327995237265</v>
      </c>
      <c r="DG92" s="32">
        <v>0.70547945205479456</v>
      </c>
      <c r="DH92" s="32">
        <v>0.78082191780821919</v>
      </c>
      <c r="DI92" s="32">
        <v>0.75862068965517238</v>
      </c>
      <c r="DJ92" s="32">
        <v>0.73287671232876717</v>
      </c>
      <c r="DK92" s="32">
        <v>0.7142857142857143</v>
      </c>
      <c r="DL92" s="32">
        <v>0.79452054794520544</v>
      </c>
      <c r="DM92" s="32">
        <v>0.76870748299319724</v>
      </c>
      <c r="DN92" s="32">
        <v>0.7507589310101529</v>
      </c>
      <c r="DO92" s="32">
        <v>0.71034482758620687</v>
      </c>
      <c r="DP92" s="32">
        <v>0.76190476190476186</v>
      </c>
      <c r="DQ92" s="32">
        <v>0.72535211267605637</v>
      </c>
      <c r="DR92" s="32">
        <v>0.73943661971830987</v>
      </c>
      <c r="DS92" s="32">
        <v>0.83098591549295775</v>
      </c>
      <c r="DT92" s="32">
        <v>0.77083333333333337</v>
      </c>
      <c r="DU92" s="32">
        <v>0.76712328767123283</v>
      </c>
      <c r="DV92" s="32">
        <v>0.75799726548326551</v>
      </c>
      <c r="DW92" s="32">
        <v>0.81818181818181823</v>
      </c>
      <c r="DX92" s="32">
        <v>0.74657534246575341</v>
      </c>
      <c r="DY92" s="32">
        <v>0.74149659863945583</v>
      </c>
      <c r="DZ92" s="32">
        <v>0.74149659863945583</v>
      </c>
      <c r="EA92" s="32">
        <v>0.76760563380281688</v>
      </c>
      <c r="EB92" s="32">
        <v>0.71917808219178081</v>
      </c>
      <c r="EC92" s="32">
        <v>0.82191780821917804</v>
      </c>
      <c r="ED92" s="32">
        <v>0.76520741173432272</v>
      </c>
      <c r="EE92" s="32">
        <v>0.68027210884353739</v>
      </c>
      <c r="EF92" s="32">
        <v>0.82993197278911568</v>
      </c>
      <c r="EG92" s="32">
        <v>0.63265306122448983</v>
      </c>
      <c r="EH92" s="32">
        <v>0.62585034013605445</v>
      </c>
      <c r="EI92" s="32">
        <v>0.75510204081632648</v>
      </c>
      <c r="EJ92" s="32">
        <v>0.85034013605442171</v>
      </c>
      <c r="EK92" s="32">
        <v>0.80952380952380953</v>
      </c>
      <c r="EL92" s="32">
        <v>0.74052478134110777</v>
      </c>
    </row>
    <row r="93" spans="38:142" x14ac:dyDescent="0.25">
      <c r="AL93" s="19" t="s">
        <v>144</v>
      </c>
      <c r="AM93" s="32">
        <v>0.97388059701492535</v>
      </c>
      <c r="AN93" s="32">
        <v>0.97657913413768627</v>
      </c>
      <c r="AO93" s="32">
        <v>0.96759941089837997</v>
      </c>
      <c r="AP93" s="32">
        <v>0.95386799148332146</v>
      </c>
      <c r="AQ93" s="32">
        <v>0.96559139784946235</v>
      </c>
      <c r="AR93" s="32">
        <v>0.97159090909090906</v>
      </c>
      <c r="AS93" s="32">
        <v>0.96559139784946235</v>
      </c>
      <c r="AT93" s="32">
        <v>0.96781440547487818</v>
      </c>
      <c r="AU93" s="32">
        <v>0.92611940298507467</v>
      </c>
      <c r="AV93" s="32">
        <v>0.97163120567375882</v>
      </c>
      <c r="AW93" s="32">
        <v>0.92336309523809523</v>
      </c>
      <c r="AX93" s="32">
        <v>0.92964824120603018</v>
      </c>
      <c r="AY93" s="32">
        <v>0.95340501792114696</v>
      </c>
      <c r="AZ93" s="32">
        <v>0.97085998578535893</v>
      </c>
      <c r="BA93" s="32">
        <v>0.96341463414634143</v>
      </c>
      <c r="BB93" s="32">
        <v>0.94834879756511525</v>
      </c>
      <c r="BC93" s="32">
        <v>0.93690388848129125</v>
      </c>
      <c r="BD93" s="32">
        <v>0.94785714285714284</v>
      </c>
      <c r="BE93" s="32">
        <v>0.91728763040238448</v>
      </c>
      <c r="BF93" s="32">
        <v>0.92862292718096606</v>
      </c>
      <c r="BG93" s="32">
        <v>0.93490701001430621</v>
      </c>
      <c r="BH93" s="32">
        <v>0.94444444444444442</v>
      </c>
      <c r="BI93" s="32">
        <v>0.95265423242467717</v>
      </c>
      <c r="BJ93" s="32">
        <v>0.93752532511503028</v>
      </c>
      <c r="BK93" s="32">
        <v>0.92220543806646527</v>
      </c>
      <c r="BL93" s="32">
        <v>0.89934829833454022</v>
      </c>
      <c r="BM93" s="32">
        <v>0.96997690531177827</v>
      </c>
      <c r="BN93" s="32">
        <v>0.92137240886347394</v>
      </c>
      <c r="BO93" s="32">
        <v>0.86661807580174932</v>
      </c>
      <c r="BP93" s="32">
        <v>0.79285193289569655</v>
      </c>
      <c r="BQ93" s="32">
        <v>0.87764020393299347</v>
      </c>
      <c r="BR93" s="32">
        <v>0.89285903760095675</v>
      </c>
      <c r="BS93" s="32">
        <v>0.98434004474272929</v>
      </c>
      <c r="BT93" s="32">
        <v>0.94452347083926036</v>
      </c>
      <c r="BU93" s="32">
        <v>0.96810089020771517</v>
      </c>
      <c r="BV93" s="32">
        <v>0.93638313080771984</v>
      </c>
      <c r="BW93" s="32">
        <v>0.94766224703419399</v>
      </c>
      <c r="BX93" s="32">
        <v>0.97989949748743721</v>
      </c>
      <c r="BY93" s="32">
        <v>0.92740213523131676</v>
      </c>
      <c r="BZ93" s="32">
        <v>0.9554730594786246</v>
      </c>
      <c r="CA93" s="32">
        <v>0.97295321637426901</v>
      </c>
      <c r="CB93" s="32">
        <v>0.99356223175965663</v>
      </c>
      <c r="CC93" s="32">
        <v>0.96824224519940916</v>
      </c>
      <c r="CD93" s="32">
        <v>0.98992805755395685</v>
      </c>
      <c r="CE93" s="32">
        <v>0.99068767908309452</v>
      </c>
      <c r="CF93" s="32">
        <v>0.98635057471264365</v>
      </c>
      <c r="CG93" s="32">
        <v>0.99357142857142855</v>
      </c>
      <c r="CH93" s="32">
        <v>0.98504220475063686</v>
      </c>
      <c r="CI93" s="32">
        <v>0.91871737509321405</v>
      </c>
      <c r="CJ93" s="32">
        <v>0.9511844938980617</v>
      </c>
      <c r="CK93" s="32">
        <v>0.94644167278063096</v>
      </c>
      <c r="CL93" s="32">
        <v>0.98283261802575106</v>
      </c>
      <c r="CM93" s="32">
        <v>0.94736842105263153</v>
      </c>
      <c r="CN93" s="32">
        <v>0.95470884255930988</v>
      </c>
      <c r="CO93" s="32">
        <v>0.97521246458923516</v>
      </c>
      <c r="CP93" s="32">
        <v>0.95378084114269057</v>
      </c>
      <c r="CQ93" s="32">
        <v>0.97039230199851967</v>
      </c>
      <c r="CR93" s="32">
        <v>0.99140401146131807</v>
      </c>
      <c r="CS93" s="32">
        <v>0.97005113221329442</v>
      </c>
      <c r="CT93" s="32">
        <v>0.98931623931623935</v>
      </c>
      <c r="CU93" s="32">
        <v>0.97567954220314734</v>
      </c>
      <c r="CV93" s="32">
        <v>0.98209169054441259</v>
      </c>
      <c r="CW93" s="32">
        <v>0.98354792560801141</v>
      </c>
      <c r="CX93" s="32">
        <v>0.98035469190642044</v>
      </c>
      <c r="CY93" s="32">
        <v>0.96590066716085987</v>
      </c>
      <c r="CZ93" s="32">
        <v>0.99215965787598004</v>
      </c>
      <c r="DA93" s="32">
        <v>0.95478131949592293</v>
      </c>
      <c r="DB93" s="32">
        <v>0.98278335724533716</v>
      </c>
      <c r="DC93" s="32">
        <v>0.99358059914407992</v>
      </c>
      <c r="DD93" s="32">
        <v>0.9907407407407407</v>
      </c>
      <c r="DE93" s="32">
        <v>0.99151343705799155</v>
      </c>
      <c r="DF93" s="32">
        <v>0.98163711124584463</v>
      </c>
      <c r="DG93" s="32">
        <v>0.95062638172439207</v>
      </c>
      <c r="DH93" s="32">
        <v>0.97779369627507162</v>
      </c>
      <c r="DI93" s="32">
        <v>0.98305084745762716</v>
      </c>
      <c r="DJ93" s="32">
        <v>0.98852223816355811</v>
      </c>
      <c r="DK93" s="32">
        <v>0.96762589928057552</v>
      </c>
      <c r="DL93" s="32">
        <v>0.97637795275590555</v>
      </c>
      <c r="DM93" s="32">
        <v>0.97487437185929648</v>
      </c>
      <c r="DN93" s="32">
        <v>0.97412448393091799</v>
      </c>
      <c r="DO93" s="32">
        <v>0.99398043641835965</v>
      </c>
      <c r="DP93" s="32">
        <v>0.98421807747489243</v>
      </c>
      <c r="DQ93" s="32">
        <v>0.96839729119638829</v>
      </c>
      <c r="DR93" s="32">
        <v>0.97892441860465118</v>
      </c>
      <c r="DS93" s="32">
        <v>0.97689530685920578</v>
      </c>
      <c r="DT93" s="32">
        <v>0.98220640569395012</v>
      </c>
      <c r="DU93" s="32">
        <v>0.98351254480286743</v>
      </c>
      <c r="DV93" s="32">
        <v>0.9811620687214736</v>
      </c>
      <c r="DW93" s="32">
        <v>0.94113207547169808</v>
      </c>
      <c r="DX93" s="32">
        <v>0.98267148014440431</v>
      </c>
      <c r="DY93" s="32">
        <v>0.94951017332328558</v>
      </c>
      <c r="DZ93" s="32">
        <v>0.97962154294032022</v>
      </c>
      <c r="EA93" s="32">
        <v>0.97334293948126804</v>
      </c>
      <c r="EB93" s="32">
        <v>0.99279538904899134</v>
      </c>
      <c r="EC93" s="32">
        <v>0.98122743682310465</v>
      </c>
      <c r="ED93" s="32">
        <v>0.97147157674758178</v>
      </c>
      <c r="EE93" s="32">
        <v>0.94415094339622641</v>
      </c>
      <c r="EF93" s="32">
        <v>0.98044895003620569</v>
      </c>
      <c r="EG93" s="32">
        <v>0.94162244124336614</v>
      </c>
      <c r="EH93" s="32">
        <v>0.99194729136163984</v>
      </c>
      <c r="EI93" s="32">
        <v>0.96934306569343065</v>
      </c>
      <c r="EJ93" s="32">
        <v>0.97095134350036316</v>
      </c>
      <c r="EK93" s="32">
        <v>0.96131386861313872</v>
      </c>
      <c r="EL93" s="32">
        <v>0.9656825576920528</v>
      </c>
    </row>
    <row r="94" spans="38:142" x14ac:dyDescent="0.25">
      <c r="AL94" s="19" t="s">
        <v>145</v>
      </c>
      <c r="AM94" s="32">
        <v>0.81802721088435371</v>
      </c>
      <c r="AN94" s="32">
        <v>0.95431472081218272</v>
      </c>
      <c r="AO94" s="32">
        <v>0.84863945578231292</v>
      </c>
      <c r="AP94" s="32">
        <v>0.87244897959183676</v>
      </c>
      <c r="AQ94" s="32">
        <v>0.86394557823129248</v>
      </c>
      <c r="AR94" s="32">
        <v>0.92893401015228427</v>
      </c>
      <c r="AS94" s="32">
        <v>0.8883248730964467</v>
      </c>
      <c r="AT94" s="32">
        <v>0.88209068979295857</v>
      </c>
      <c r="AU94" s="32">
        <v>0.86224489795918369</v>
      </c>
      <c r="AV94" s="32">
        <v>0.88305084745762707</v>
      </c>
      <c r="AW94" s="32">
        <v>0.84863945578231292</v>
      </c>
      <c r="AX94" s="32">
        <v>0.93908629441624369</v>
      </c>
      <c r="AY94" s="32">
        <v>0.85544217687074831</v>
      </c>
      <c r="AZ94" s="32">
        <v>0.86317567567567566</v>
      </c>
      <c r="BA94" s="32">
        <v>0.83389830508474572</v>
      </c>
      <c r="BB94" s="32">
        <v>0.86936252189236229</v>
      </c>
      <c r="BC94" s="32">
        <v>0.89932885906040272</v>
      </c>
      <c r="BD94" s="32">
        <v>0.93434343434343436</v>
      </c>
      <c r="BE94" s="32">
        <v>0.89429530201342278</v>
      </c>
      <c r="BF94" s="32">
        <v>0.94630872483221473</v>
      </c>
      <c r="BG94" s="32">
        <v>0.97818791946308725</v>
      </c>
      <c r="BH94" s="32">
        <v>0.95973154362416102</v>
      </c>
      <c r="BI94" s="32">
        <v>0.9747474747474747</v>
      </c>
      <c r="BJ94" s="32">
        <v>0.94099189401202821</v>
      </c>
      <c r="BK94" s="32">
        <v>0.8922558922558923</v>
      </c>
      <c r="BL94" s="32">
        <v>0.92785234899328861</v>
      </c>
      <c r="BM94" s="32">
        <v>0.90909090909090906</v>
      </c>
      <c r="BN94" s="32">
        <v>0.95174708818635612</v>
      </c>
      <c r="BO94" s="32">
        <v>0.89057239057239057</v>
      </c>
      <c r="BP94" s="32">
        <v>0.77348993288590606</v>
      </c>
      <c r="BQ94" s="32">
        <v>0.81375838926174493</v>
      </c>
      <c r="BR94" s="32">
        <v>0.87982385017806963</v>
      </c>
      <c r="BS94" s="32">
        <v>0.90484140233722876</v>
      </c>
      <c r="BT94" s="32">
        <v>0.94435075885328834</v>
      </c>
      <c r="BU94" s="32">
        <v>0.90984974958263776</v>
      </c>
      <c r="BV94" s="32">
        <v>0.91720779220779225</v>
      </c>
      <c r="BW94" s="32">
        <v>0.93656093489148584</v>
      </c>
      <c r="BX94" s="32">
        <v>0.90387858347386174</v>
      </c>
      <c r="BY94" s="32">
        <v>0.91</v>
      </c>
      <c r="BZ94" s="32">
        <v>0.91809846019232777</v>
      </c>
      <c r="CA94" s="32">
        <v>0.88907014681892338</v>
      </c>
      <c r="CB94" s="32">
        <v>0.9821428571428571</v>
      </c>
      <c r="CC94" s="32">
        <v>0.91680261011419251</v>
      </c>
      <c r="CD94" s="32">
        <v>0.96229508196721314</v>
      </c>
      <c r="CE94" s="32">
        <v>0.92495921696574224</v>
      </c>
      <c r="CF94" s="32">
        <v>0.94480519480519476</v>
      </c>
      <c r="CG94" s="32">
        <v>0.94975688816855752</v>
      </c>
      <c r="CH94" s="32">
        <v>0.93854742799752588</v>
      </c>
      <c r="CI94" s="32">
        <v>0.93148450244698211</v>
      </c>
      <c r="CJ94" s="32">
        <v>0.97244732576985415</v>
      </c>
      <c r="CK94" s="32">
        <v>0.91027732463295274</v>
      </c>
      <c r="CL94" s="32">
        <v>0.9543973941368078</v>
      </c>
      <c r="CM94" s="32">
        <v>0.9559543230016313</v>
      </c>
      <c r="CN94" s="32">
        <v>0.95921696574225124</v>
      </c>
      <c r="CO94" s="32">
        <v>0.93399339933993397</v>
      </c>
      <c r="CP94" s="32">
        <v>0.94539589072434482</v>
      </c>
      <c r="CQ94" s="32">
        <v>0.85342019543973946</v>
      </c>
      <c r="CR94" s="32">
        <v>0.97368421052631582</v>
      </c>
      <c r="CS94" s="32">
        <v>0.85830618892508148</v>
      </c>
      <c r="CT94" s="32">
        <v>0.94426229508196724</v>
      </c>
      <c r="CU94" s="32">
        <v>0.91530944625407162</v>
      </c>
      <c r="CV94" s="32">
        <v>0.97385620915032678</v>
      </c>
      <c r="CW94" s="32">
        <v>0.92671009771986967</v>
      </c>
      <c r="CX94" s="32">
        <v>0.9207926632996245</v>
      </c>
      <c r="CY94" s="32">
        <v>0.92131147540983604</v>
      </c>
      <c r="CZ94" s="32">
        <v>0.96229508196721314</v>
      </c>
      <c r="DA94" s="32">
        <v>0.9098360655737705</v>
      </c>
      <c r="DB94" s="32">
        <v>0.96737357259380097</v>
      </c>
      <c r="DC94" s="32">
        <v>0.95409836065573772</v>
      </c>
      <c r="DD94" s="32">
        <v>0.93606557377049182</v>
      </c>
      <c r="DE94" s="32">
        <v>0.95737704918032784</v>
      </c>
      <c r="DF94" s="32">
        <v>0.94405102559302545</v>
      </c>
      <c r="DG94" s="32">
        <v>0.83387622149837137</v>
      </c>
      <c r="DH94" s="32">
        <v>0.98051948051948057</v>
      </c>
      <c r="DI94" s="32">
        <v>0.86644951140065152</v>
      </c>
      <c r="DJ94" s="32">
        <v>0.91530944625407162</v>
      </c>
      <c r="DK94" s="32">
        <v>0.92345276872964166</v>
      </c>
      <c r="DL94" s="32">
        <v>0.97893030794165314</v>
      </c>
      <c r="DM94" s="32">
        <v>0.9332247557003257</v>
      </c>
      <c r="DN94" s="32">
        <v>0.9188232131491707</v>
      </c>
      <c r="DO94" s="32">
        <v>0.89902280130293155</v>
      </c>
      <c r="DP94" s="32">
        <v>0.91693811074918563</v>
      </c>
      <c r="DQ94" s="32">
        <v>0.92345276872964166</v>
      </c>
      <c r="DR94" s="32">
        <v>0.94951140065146578</v>
      </c>
      <c r="DS94" s="32">
        <v>0.92182410423452765</v>
      </c>
      <c r="DT94" s="32">
        <v>0.90716612377850159</v>
      </c>
      <c r="DU94" s="32">
        <v>0.89087947882736152</v>
      </c>
      <c r="DV94" s="32">
        <v>0.91554211261051655</v>
      </c>
      <c r="DW94" s="32">
        <v>0.87947882736156346</v>
      </c>
      <c r="DX94" s="32">
        <v>0.95276872964169379</v>
      </c>
      <c r="DY94" s="32">
        <v>0.87947882736156346</v>
      </c>
      <c r="DZ94" s="32">
        <v>0.91734197730956235</v>
      </c>
      <c r="EA94" s="32">
        <v>0.90390879478827357</v>
      </c>
      <c r="EB94" s="32">
        <v>0.94136807817589574</v>
      </c>
      <c r="EC94" s="32">
        <v>0.91693811074918563</v>
      </c>
      <c r="ED94" s="32">
        <v>0.91304047791253407</v>
      </c>
      <c r="EE94" s="32">
        <v>0.91247974068071314</v>
      </c>
      <c r="EF94" s="32">
        <v>0.96381578947368418</v>
      </c>
      <c r="EG94" s="32">
        <v>0.89303079416531606</v>
      </c>
      <c r="EH94" s="32">
        <v>0.93627450980392157</v>
      </c>
      <c r="EI94" s="32">
        <v>0.91896272285251213</v>
      </c>
      <c r="EJ94" s="32">
        <v>0.9513776337115073</v>
      </c>
      <c r="EK94" s="32">
        <v>0.97082658022690438</v>
      </c>
      <c r="EL94" s="32">
        <v>0.93525253870207981</v>
      </c>
    </row>
    <row r="95" spans="38:142" x14ac:dyDescent="0.25">
      <c r="AL95" s="19" t="s">
        <v>146</v>
      </c>
      <c r="AM95" s="32">
        <v>0.92198581560283688</v>
      </c>
      <c r="AN95" s="32">
        <v>0.9466292134831461</v>
      </c>
      <c r="AO95" s="32">
        <v>0.91076487252124649</v>
      </c>
      <c r="AP95" s="32">
        <v>0.92937853107344637</v>
      </c>
      <c r="AQ95" s="32">
        <v>0.94092827004219415</v>
      </c>
      <c r="AR95" s="32">
        <v>0.94537815126050417</v>
      </c>
      <c r="AS95" s="32">
        <v>0.93127629733520334</v>
      </c>
      <c r="AT95" s="32">
        <v>0.93233445018836825</v>
      </c>
      <c r="AU95" s="32">
        <v>0.9244755244755245</v>
      </c>
      <c r="AV95" s="32">
        <v>0.93039772727272729</v>
      </c>
      <c r="AW95" s="32">
        <v>0.94957983193277307</v>
      </c>
      <c r="AX95" s="32">
        <v>0.98342541436464093</v>
      </c>
      <c r="AY95" s="32">
        <v>0.94176136363636365</v>
      </c>
      <c r="AZ95" s="32">
        <v>0.9285714285714286</v>
      </c>
      <c r="BA95" s="32">
        <v>0.91654879773691655</v>
      </c>
      <c r="BB95" s="32">
        <v>0.93925144114148207</v>
      </c>
      <c r="BC95" s="32">
        <v>0.88142857142857145</v>
      </c>
      <c r="BD95" s="32">
        <v>0.94002789400278941</v>
      </c>
      <c r="BE95" s="32">
        <v>0.90817790530846487</v>
      </c>
      <c r="BF95" s="32">
        <v>0.93380281690140843</v>
      </c>
      <c r="BG95" s="32">
        <v>0.90740740740740744</v>
      </c>
      <c r="BH95" s="32">
        <v>0.92608089260808923</v>
      </c>
      <c r="BI95" s="32">
        <v>0.92847124824684435</v>
      </c>
      <c r="BJ95" s="32">
        <v>0.91791381941479655</v>
      </c>
      <c r="BK95" s="32">
        <v>0.9018492176386913</v>
      </c>
      <c r="BL95" s="32">
        <v>0.89601139601139601</v>
      </c>
      <c r="BM95" s="32">
        <v>0.92686357243319273</v>
      </c>
      <c r="BN95" s="32">
        <v>0.9551820728291317</v>
      </c>
      <c r="BO95" s="32">
        <v>0.9018492176386913</v>
      </c>
      <c r="BP95" s="32">
        <v>0.80087209302325579</v>
      </c>
      <c r="BQ95" s="32">
        <v>0.83285302593659938</v>
      </c>
      <c r="BR95" s="32">
        <v>0.8879257993587083</v>
      </c>
      <c r="BS95" s="32">
        <v>0.92039106145251393</v>
      </c>
      <c r="BT95" s="32">
        <v>0.93939393939393945</v>
      </c>
      <c r="BU95" s="32">
        <v>0.91225626740947074</v>
      </c>
      <c r="BV95" s="32">
        <v>0.95297372060857533</v>
      </c>
      <c r="BW95" s="32">
        <v>0.92413793103448272</v>
      </c>
      <c r="BX95" s="32">
        <v>0.93435754189944131</v>
      </c>
      <c r="BY95" s="32">
        <v>0.9363762102351314</v>
      </c>
      <c r="BZ95" s="32">
        <v>0.93141238171907936</v>
      </c>
      <c r="CA95" s="32">
        <v>0.9327846364883402</v>
      </c>
      <c r="CB95" s="32">
        <v>0.95410292072322667</v>
      </c>
      <c r="CC95" s="32">
        <v>0.92054794520547945</v>
      </c>
      <c r="CD95" s="32">
        <v>0.93732970027247953</v>
      </c>
      <c r="CE95" s="32">
        <v>0.93032786885245899</v>
      </c>
      <c r="CF95" s="32">
        <v>0.93499308437067774</v>
      </c>
      <c r="CG95" s="32">
        <v>0.93194444444444446</v>
      </c>
      <c r="CH95" s="32">
        <v>0.93457580005101526</v>
      </c>
      <c r="CI95" s="32">
        <v>0.88531468531468527</v>
      </c>
      <c r="CJ95" s="32">
        <v>0.94109589041095887</v>
      </c>
      <c r="CK95" s="32">
        <v>0.91364902506963785</v>
      </c>
      <c r="CL95" s="32">
        <v>0.92297111416781297</v>
      </c>
      <c r="CM95" s="32">
        <v>0.92896935933147629</v>
      </c>
      <c r="CN95" s="32">
        <v>0.93250688705234164</v>
      </c>
      <c r="CO95" s="32">
        <v>0.96707818930041156</v>
      </c>
      <c r="CP95" s="32">
        <v>0.92736930723533195</v>
      </c>
      <c r="CQ95" s="32">
        <v>0.8735955056179775</v>
      </c>
      <c r="CR95" s="32">
        <v>0.90934065934065933</v>
      </c>
      <c r="CS95" s="32">
        <v>0.89859154929577467</v>
      </c>
      <c r="CT95" s="32">
        <v>0.93854748603351956</v>
      </c>
      <c r="CU95" s="32">
        <v>0.79143646408839774</v>
      </c>
      <c r="CV95" s="32">
        <v>0.9349030470914127</v>
      </c>
      <c r="CW95" s="32">
        <v>0.93269230769230771</v>
      </c>
      <c r="CX95" s="32">
        <v>0.89701528845143563</v>
      </c>
      <c r="CY95" s="32">
        <v>0.92807745504840944</v>
      </c>
      <c r="CZ95" s="32">
        <v>0.93093922651933703</v>
      </c>
      <c r="DA95" s="32">
        <v>0.9182825484764543</v>
      </c>
      <c r="DB95" s="32">
        <v>0.94077134986225897</v>
      </c>
      <c r="DC95" s="32">
        <v>0.92679558011049723</v>
      </c>
      <c r="DD95" s="32">
        <v>0.92926490984743415</v>
      </c>
      <c r="DE95" s="32">
        <v>0.93628808864265933</v>
      </c>
      <c r="DF95" s="32">
        <v>0.93005987978672156</v>
      </c>
      <c r="DG95" s="32">
        <v>0.8994413407821229</v>
      </c>
      <c r="DH95" s="32">
        <v>0.91597796143250687</v>
      </c>
      <c r="DI95" s="32">
        <v>0.90743338008415142</v>
      </c>
      <c r="DJ95" s="32">
        <v>0.91678224687933429</v>
      </c>
      <c r="DK95" s="32">
        <v>0.93305439330543938</v>
      </c>
      <c r="DL95" s="32">
        <v>0.93188010899182561</v>
      </c>
      <c r="DM95" s="32">
        <v>0.93552812071330593</v>
      </c>
      <c r="DN95" s="32">
        <v>0.92001393602695525</v>
      </c>
      <c r="DO95" s="32">
        <v>0.89835164835164838</v>
      </c>
      <c r="DP95" s="32">
        <v>0.91046831955922869</v>
      </c>
      <c r="DQ95" s="32">
        <v>0.92083333333333328</v>
      </c>
      <c r="DR95" s="32">
        <v>0.94497936726272347</v>
      </c>
      <c r="DS95" s="32">
        <v>0.93093922651933703</v>
      </c>
      <c r="DT95" s="32">
        <v>0.92520775623268703</v>
      </c>
      <c r="DU95" s="32">
        <v>0.93454038997214484</v>
      </c>
      <c r="DV95" s="32">
        <v>0.92361714874730028</v>
      </c>
      <c r="DW95" s="32">
        <v>0.92797783933518008</v>
      </c>
      <c r="DX95" s="32">
        <v>0.92767732962447846</v>
      </c>
      <c r="DY95" s="32">
        <v>0.94093406593406592</v>
      </c>
      <c r="DZ95" s="32">
        <v>0.94368131868131866</v>
      </c>
      <c r="EA95" s="32">
        <v>0.92181069958847739</v>
      </c>
      <c r="EB95" s="32">
        <v>0.93222683264177042</v>
      </c>
      <c r="EC95" s="32">
        <v>0.91095890410958902</v>
      </c>
      <c r="ED95" s="32">
        <v>0.92932385570212561</v>
      </c>
      <c r="EE95" s="32">
        <v>0.89847009735744088</v>
      </c>
      <c r="EF95" s="32">
        <v>0.94672131147540983</v>
      </c>
      <c r="EG95" s="32">
        <v>0.91436464088397795</v>
      </c>
      <c r="EH95" s="32">
        <v>0.92886456908344728</v>
      </c>
      <c r="EI95" s="32">
        <v>0.89958734525447037</v>
      </c>
      <c r="EJ95" s="32">
        <v>0.94101508916323728</v>
      </c>
      <c r="EK95" s="32">
        <v>0.9244505494505495</v>
      </c>
      <c r="EL95" s="32">
        <v>0.92192480038121882</v>
      </c>
    </row>
    <row r="96" spans="38:142" x14ac:dyDescent="0.25">
      <c r="AL96" s="19" t="s">
        <v>147</v>
      </c>
      <c r="AM96" s="32">
        <v>0.97482014388489213</v>
      </c>
      <c r="AN96" s="32">
        <v>0.90887573964497037</v>
      </c>
      <c r="AO96" s="32">
        <v>0.93173652694610776</v>
      </c>
      <c r="AP96" s="32">
        <v>0.95053003533568903</v>
      </c>
      <c r="AQ96" s="32">
        <v>0.96789536266349585</v>
      </c>
      <c r="AR96" s="32">
        <v>0.9285714285714286</v>
      </c>
      <c r="AS96" s="32">
        <v>0.96666666666666667</v>
      </c>
      <c r="AT96" s="32">
        <v>0.9470137005304643</v>
      </c>
      <c r="AU96" s="32">
        <v>0.93460166468489891</v>
      </c>
      <c r="AV96" s="32">
        <v>0.96690307328605196</v>
      </c>
      <c r="AW96" s="32">
        <v>0.91278375149342894</v>
      </c>
      <c r="AX96" s="32">
        <v>0.92114695340501795</v>
      </c>
      <c r="AY96" s="32">
        <v>0.95838287752675388</v>
      </c>
      <c r="AZ96" s="32">
        <v>0.97284533648170013</v>
      </c>
      <c r="BA96" s="32">
        <v>0.96195005945303214</v>
      </c>
      <c r="BB96" s="32">
        <v>0.94694481661869767</v>
      </c>
      <c r="BC96" s="32">
        <v>0.90756302521008403</v>
      </c>
      <c r="BD96" s="32">
        <v>0.94391408114558473</v>
      </c>
      <c r="BE96" s="32">
        <v>0.87425149700598803</v>
      </c>
      <c r="BF96" s="32">
        <v>0.86674669867947174</v>
      </c>
      <c r="BG96" s="32">
        <v>0.94536817102137771</v>
      </c>
      <c r="BH96" s="32">
        <v>0.94265232974910396</v>
      </c>
      <c r="BI96" s="32">
        <v>0.93809523809523809</v>
      </c>
      <c r="BJ96" s="32">
        <v>0.91694157727240688</v>
      </c>
      <c r="BK96" s="32">
        <v>0.93128834355828216</v>
      </c>
      <c r="BL96" s="32">
        <v>0.88299155609167668</v>
      </c>
      <c r="BM96" s="32">
        <v>0.92969696969696969</v>
      </c>
      <c r="BN96" s="32">
        <v>0.92207792207792205</v>
      </c>
      <c r="BO96" s="32">
        <v>0.8355342136854742</v>
      </c>
      <c r="BP96" s="32">
        <v>0.77083333333333337</v>
      </c>
      <c r="BQ96" s="32">
        <v>0.79465370595382745</v>
      </c>
      <c r="BR96" s="32">
        <v>0.86672514919964072</v>
      </c>
      <c r="BS96" s="32">
        <v>0.92645314353499408</v>
      </c>
      <c r="BT96" s="32">
        <v>0.92755344418052255</v>
      </c>
      <c r="BU96" s="32">
        <v>0.90391459074733094</v>
      </c>
      <c r="BV96" s="32">
        <v>0.92434988179669031</v>
      </c>
      <c r="BW96" s="32">
        <v>0.93971631205673756</v>
      </c>
      <c r="BX96" s="32">
        <v>0.89940828402366868</v>
      </c>
      <c r="BY96" s="32">
        <v>0.8970414201183432</v>
      </c>
      <c r="BZ96" s="32">
        <v>0.91691958235118398</v>
      </c>
      <c r="CA96" s="32">
        <v>0.92334905660377353</v>
      </c>
      <c r="CB96" s="32">
        <v>0.94562647754137119</v>
      </c>
      <c r="CC96" s="32">
        <v>0.90295857988165684</v>
      </c>
      <c r="CD96" s="32">
        <v>0.92662721893491129</v>
      </c>
      <c r="CE96" s="32">
        <v>0.94911242603550294</v>
      </c>
      <c r="CF96" s="32">
        <v>0.9577960140679953</v>
      </c>
      <c r="CG96" s="32">
        <v>0.97163120567375882</v>
      </c>
      <c r="CH96" s="32">
        <v>0.93958585410556716</v>
      </c>
      <c r="CI96" s="32">
        <v>0.93341260404280624</v>
      </c>
      <c r="CJ96" s="32">
        <v>0.95497630331753558</v>
      </c>
      <c r="CK96" s="32">
        <v>0.91158900836320189</v>
      </c>
      <c r="CL96" s="32">
        <v>0.91646778042959431</v>
      </c>
      <c r="CM96" s="32">
        <v>0.96313912009512481</v>
      </c>
      <c r="CN96" s="32">
        <v>0.94404761904761902</v>
      </c>
      <c r="CO96" s="32">
        <v>0.9538461538461539</v>
      </c>
      <c r="CP96" s="32">
        <v>0.93963979844886225</v>
      </c>
      <c r="CQ96" s="32">
        <v>0.94216867469879517</v>
      </c>
      <c r="CR96" s="32">
        <v>0.93325387365911805</v>
      </c>
      <c r="CS96" s="32">
        <v>0.863855421686747</v>
      </c>
      <c r="CT96" s="32">
        <v>0.89034564958283668</v>
      </c>
      <c r="CU96" s="32">
        <v>0.93236714975845414</v>
      </c>
      <c r="CV96" s="32">
        <v>0.901072705601907</v>
      </c>
      <c r="CW96" s="32">
        <v>0.91895113230035752</v>
      </c>
      <c r="CX96" s="32">
        <v>0.91171637246974502</v>
      </c>
      <c r="CY96" s="32">
        <v>0.93467933491686461</v>
      </c>
      <c r="CZ96" s="32">
        <v>0.94026284348864997</v>
      </c>
      <c r="DA96" s="32">
        <v>0.92298578199052128</v>
      </c>
      <c r="DB96" s="32">
        <v>0.94221698113207553</v>
      </c>
      <c r="DC96" s="32">
        <v>0.95047169811320753</v>
      </c>
      <c r="DD96" s="32">
        <v>0.94543297746144717</v>
      </c>
      <c r="DE96" s="32">
        <v>0.94668246445497628</v>
      </c>
      <c r="DF96" s="32">
        <v>0.9403902973653917</v>
      </c>
      <c r="DG96" s="32">
        <v>0.90322580645161288</v>
      </c>
      <c r="DH96" s="32">
        <v>0.92114285714285715</v>
      </c>
      <c r="DI96" s="32">
        <v>0.87557603686635943</v>
      </c>
      <c r="DJ96" s="32">
        <v>0.89467592592592593</v>
      </c>
      <c r="DK96" s="32">
        <v>0.91638029782359676</v>
      </c>
      <c r="DL96" s="32">
        <v>0.91713961407491484</v>
      </c>
      <c r="DM96" s="32">
        <v>0.94063926940639264</v>
      </c>
      <c r="DN96" s="32">
        <v>0.90982568681309417</v>
      </c>
      <c r="DO96" s="32">
        <v>0.89248554913294798</v>
      </c>
      <c r="DP96" s="32">
        <v>0.92988505747126438</v>
      </c>
      <c r="DQ96" s="32">
        <v>0.87990762124711319</v>
      </c>
      <c r="DR96" s="32">
        <v>0.89437428243398398</v>
      </c>
      <c r="DS96" s="32">
        <v>0.91963260619977039</v>
      </c>
      <c r="DT96" s="32">
        <v>0.92520138089758341</v>
      </c>
      <c r="DU96" s="32">
        <v>0.93785960874568475</v>
      </c>
      <c r="DV96" s="32">
        <v>0.91133515801833542</v>
      </c>
      <c r="DW96" s="32">
        <v>0.86774941995359633</v>
      </c>
      <c r="DX96" s="32">
        <v>0.91399082568807344</v>
      </c>
      <c r="DY96" s="32">
        <v>0.84027777777777779</v>
      </c>
      <c r="DZ96" s="32">
        <v>0.86790266512166858</v>
      </c>
      <c r="EA96" s="32">
        <v>0.87861271676300579</v>
      </c>
      <c r="EB96" s="32">
        <v>0.91254315304948219</v>
      </c>
      <c r="EC96" s="32">
        <v>0.86820809248554909</v>
      </c>
      <c r="ED96" s="32">
        <v>0.87846923583416481</v>
      </c>
      <c r="EE96" s="32">
        <v>0.86166471277842904</v>
      </c>
      <c r="EF96" s="32">
        <v>0.88568129330254042</v>
      </c>
      <c r="EG96" s="32">
        <v>0.85011709601873531</v>
      </c>
      <c r="EH96" s="32">
        <v>0.87759815242494221</v>
      </c>
      <c r="EI96" s="32">
        <v>0.87776484284051226</v>
      </c>
      <c r="EJ96" s="32">
        <v>0.89953810623556585</v>
      </c>
      <c r="EK96" s="32">
        <v>0.9010477299185099</v>
      </c>
      <c r="EL96" s="32">
        <v>0.87905884764560505</v>
      </c>
    </row>
    <row r="97" spans="38:142" x14ac:dyDescent="0.25">
      <c r="AL97" s="19" t="s">
        <v>328</v>
      </c>
      <c r="AM97" s="32">
        <v>0.84360189573459721</v>
      </c>
      <c r="AN97" s="32">
        <v>0.90507518796992481</v>
      </c>
      <c r="AO97" s="32">
        <v>0.87381404174573052</v>
      </c>
      <c r="AP97" s="32">
        <v>0.90404515522107243</v>
      </c>
      <c r="AQ97" s="32">
        <v>0.89508506616257089</v>
      </c>
      <c r="AR97" s="32">
        <v>0.90592662276575731</v>
      </c>
      <c r="AS97" s="32">
        <v>0.93226716839134527</v>
      </c>
      <c r="AT97" s="32">
        <v>0.89425930542728549</v>
      </c>
      <c r="AU97" s="32">
        <v>0.87535145267104031</v>
      </c>
      <c r="AV97" s="32">
        <v>0.9032863849765258</v>
      </c>
      <c r="AW97" s="32">
        <v>0.87535145267104031</v>
      </c>
      <c r="AX97" s="32">
        <v>0.9196261682242991</v>
      </c>
      <c r="AY97" s="32">
        <v>0.8824082784571966</v>
      </c>
      <c r="AZ97" s="32">
        <v>0.90489642184557439</v>
      </c>
      <c r="BA97" s="32">
        <v>0.8960674157303371</v>
      </c>
      <c r="BB97" s="32">
        <v>0.89385536779657337</v>
      </c>
      <c r="BC97" s="32">
        <v>0.88345864661654139</v>
      </c>
      <c r="BD97" s="32">
        <v>0.91534883720930238</v>
      </c>
      <c r="BE97" s="32">
        <v>0.89034676663542645</v>
      </c>
      <c r="BF97" s="32">
        <v>0.91588785046728971</v>
      </c>
      <c r="BG97" s="32">
        <v>0.90764925373134331</v>
      </c>
      <c r="BH97" s="32">
        <v>0.91760299625468167</v>
      </c>
      <c r="BI97" s="32">
        <v>0.91992551210428308</v>
      </c>
      <c r="BJ97" s="32">
        <v>0.90717426614555274</v>
      </c>
      <c r="BK97" s="32">
        <v>0.88668555240793201</v>
      </c>
      <c r="BL97" s="32">
        <v>0.86854460093896713</v>
      </c>
      <c r="BM97" s="32">
        <v>0.89538171536286526</v>
      </c>
      <c r="BN97" s="32">
        <v>0.935969868173258</v>
      </c>
      <c r="BO97" s="32">
        <v>0.83870967741935487</v>
      </c>
      <c r="BP97" s="32">
        <v>0.75287356321839083</v>
      </c>
      <c r="BQ97" s="32">
        <v>0.7678401522359658</v>
      </c>
      <c r="BR97" s="32">
        <v>0.84942930425096197</v>
      </c>
      <c r="BS97" s="32">
        <v>0.87777777777777777</v>
      </c>
      <c r="BT97" s="32">
        <v>0.92242990654205603</v>
      </c>
      <c r="BU97" s="32">
        <v>0.8917431192660551</v>
      </c>
      <c r="BV97" s="32">
        <v>0.92244525547445255</v>
      </c>
      <c r="BW97" s="32">
        <v>0.92048643592142187</v>
      </c>
      <c r="BX97" s="32">
        <v>0.89369708372530576</v>
      </c>
      <c r="BY97" s="32">
        <v>0.91061452513966479</v>
      </c>
      <c r="BZ97" s="32">
        <v>0.90559915769239041</v>
      </c>
      <c r="CA97" s="32">
        <v>0.84960422163588389</v>
      </c>
      <c r="CB97" s="32">
        <v>0.91938405797101452</v>
      </c>
      <c r="CC97" s="32">
        <v>0.86543535620052769</v>
      </c>
      <c r="CD97" s="32">
        <v>0.9261261261261261</v>
      </c>
      <c r="CE97" s="32">
        <v>0.88288288288288286</v>
      </c>
      <c r="CF97" s="32">
        <v>0.9029038112522686</v>
      </c>
      <c r="CG97" s="32">
        <v>0.8969534050179212</v>
      </c>
      <c r="CH97" s="32">
        <v>0.8918985515838036</v>
      </c>
      <c r="CI97" s="32">
        <v>0.81442392260334218</v>
      </c>
      <c r="CJ97" s="32">
        <v>0.92972972972972978</v>
      </c>
      <c r="CK97" s="32">
        <v>0.82746478873239437</v>
      </c>
      <c r="CL97" s="32">
        <v>0.88198198198198197</v>
      </c>
      <c r="CM97" s="32">
        <v>0.87172538392050591</v>
      </c>
      <c r="CN97" s="32">
        <v>0.93862815884476536</v>
      </c>
      <c r="CO97" s="32">
        <v>0.92779783393501802</v>
      </c>
      <c r="CP97" s="32">
        <v>0.88453597139253382</v>
      </c>
      <c r="CQ97" s="32">
        <v>0.8098591549295775</v>
      </c>
      <c r="CR97" s="32">
        <v>0.87545126353790614</v>
      </c>
      <c r="CS97" s="32">
        <v>0.8192239858906526</v>
      </c>
      <c r="CT97" s="32">
        <v>0.8686594202898551</v>
      </c>
      <c r="CU97" s="32">
        <v>0.86036036036036034</v>
      </c>
      <c r="CV97" s="32">
        <v>0.88021778584392019</v>
      </c>
      <c r="CW97" s="32">
        <v>0.88979223125564588</v>
      </c>
      <c r="CX97" s="32">
        <v>0.85765202887255954</v>
      </c>
      <c r="CY97" s="32">
        <v>0.81674008810572685</v>
      </c>
      <c r="CZ97" s="32">
        <v>0.87522603978300184</v>
      </c>
      <c r="DA97" s="32">
        <v>0.82026431718061676</v>
      </c>
      <c r="DB97" s="32">
        <v>0.90072202166064985</v>
      </c>
      <c r="DC97" s="32">
        <v>0.8592057761732852</v>
      </c>
      <c r="DD97" s="32">
        <v>0.86400725294650949</v>
      </c>
      <c r="DE97" s="32">
        <v>0.87003610108303253</v>
      </c>
      <c r="DF97" s="32">
        <v>0.85802879956183176</v>
      </c>
      <c r="DG97" s="32">
        <v>0.82891125343092409</v>
      </c>
      <c r="DH97" s="32">
        <v>0.9130824372759857</v>
      </c>
      <c r="DI97" s="32">
        <v>0.8536139066788655</v>
      </c>
      <c r="DJ97" s="32">
        <v>0.9010082493125573</v>
      </c>
      <c r="DK97" s="32">
        <v>0.87544802867383509</v>
      </c>
      <c r="DL97" s="32">
        <v>0.87455197132616491</v>
      </c>
      <c r="DM97" s="32">
        <v>0.88351254480286734</v>
      </c>
      <c r="DN97" s="32">
        <v>0.87573262735731439</v>
      </c>
      <c r="DO97" s="32">
        <v>0.84573002754820936</v>
      </c>
      <c r="DP97" s="32">
        <v>0.89191643960036326</v>
      </c>
      <c r="DQ97" s="32">
        <v>0.86313868613138689</v>
      </c>
      <c r="DR97" s="32">
        <v>0.87682481751824815</v>
      </c>
      <c r="DS97" s="32">
        <v>0.84762773722627738</v>
      </c>
      <c r="DT97" s="32">
        <v>0.88939670932358317</v>
      </c>
      <c r="DU97" s="32">
        <v>0.87659963436928701</v>
      </c>
      <c r="DV97" s="32">
        <v>0.87017629310247924</v>
      </c>
      <c r="DW97" s="32">
        <v>0.82967032967032972</v>
      </c>
      <c r="DX97" s="32">
        <v>0.88655077767612078</v>
      </c>
      <c r="DY97" s="32">
        <v>0.83897529734675202</v>
      </c>
      <c r="DZ97" s="32">
        <v>0.87795992714025506</v>
      </c>
      <c r="EA97" s="32">
        <v>0.85846438482886211</v>
      </c>
      <c r="EB97" s="32">
        <v>0.88051470588235292</v>
      </c>
      <c r="EC97" s="32">
        <v>0.84263494967978048</v>
      </c>
      <c r="ED97" s="32">
        <v>0.85925291031777895</v>
      </c>
      <c r="EE97" s="32">
        <v>0.82070240295748609</v>
      </c>
      <c r="EF97" s="32">
        <v>0.86194368755676654</v>
      </c>
      <c r="EG97" s="32">
        <v>0.82347504621072087</v>
      </c>
      <c r="EH97" s="32">
        <v>0.86451612903225805</v>
      </c>
      <c r="EI97" s="32">
        <v>0.85178408051235133</v>
      </c>
      <c r="EJ97" s="32">
        <v>0.8460837887067395</v>
      </c>
      <c r="EK97" s="32">
        <v>0.8559633027522936</v>
      </c>
      <c r="EL97" s="32">
        <v>0.84635263396123073</v>
      </c>
    </row>
    <row r="98" spans="38:142" x14ac:dyDescent="0.25">
      <c r="AL98" s="19" t="s">
        <v>148</v>
      </c>
      <c r="AM98" s="32">
        <v>0.94623655913978499</v>
      </c>
      <c r="AN98" s="32">
        <v>0.94408602150537635</v>
      </c>
      <c r="AO98" s="32">
        <v>0.92903225806451617</v>
      </c>
      <c r="AP98" s="32">
        <v>0.99569892473118282</v>
      </c>
      <c r="AQ98" s="32">
        <v>0.95913978494623653</v>
      </c>
      <c r="AR98" s="32">
        <v>0.99354838709677418</v>
      </c>
      <c r="AS98" s="32">
        <v>0.97419354838709682</v>
      </c>
      <c r="AT98" s="32">
        <v>0.96313364055299533</v>
      </c>
      <c r="AU98" s="32">
        <v>1</v>
      </c>
      <c r="AV98" s="32">
        <v>0.94623655913978499</v>
      </c>
      <c r="AW98" s="32">
        <v>0.95483870967741935</v>
      </c>
      <c r="AX98" s="32">
        <v>0.8989247311827957</v>
      </c>
      <c r="AY98" s="32">
        <v>0.93548387096774188</v>
      </c>
      <c r="AZ98" s="32">
        <v>0.96344086021505382</v>
      </c>
      <c r="BA98" s="32">
        <v>0.92903225806451617</v>
      </c>
      <c r="BB98" s="32">
        <v>0.94685099846390164</v>
      </c>
      <c r="BC98" s="32">
        <v>0.97679324894514763</v>
      </c>
      <c r="BD98" s="32">
        <v>0.94838709677419353</v>
      </c>
      <c r="BE98" s="32">
        <v>0.93459915611814348</v>
      </c>
      <c r="BF98" s="32">
        <v>0.98949579831932777</v>
      </c>
      <c r="BG98" s="32">
        <v>0.96828752642706128</v>
      </c>
      <c r="BH98" s="32">
        <v>0.99139784946236564</v>
      </c>
      <c r="BI98" s="32">
        <v>1</v>
      </c>
      <c r="BJ98" s="32">
        <v>0.9727086680066056</v>
      </c>
      <c r="BK98" s="32">
        <v>0.89870689655172409</v>
      </c>
      <c r="BL98" s="32">
        <v>0.91239316239316237</v>
      </c>
      <c r="BM98" s="32">
        <v>0.94129979035639411</v>
      </c>
      <c r="BN98" s="32">
        <v>0.94968553459119498</v>
      </c>
      <c r="BO98" s="32">
        <v>0.90086206896551724</v>
      </c>
      <c r="BP98" s="32">
        <v>0.94155844155844159</v>
      </c>
      <c r="BQ98" s="32">
        <v>0.91594827586206895</v>
      </c>
      <c r="BR98" s="32">
        <v>0.92292202432550052</v>
      </c>
      <c r="BS98" s="32">
        <v>0.96226415094339623</v>
      </c>
      <c r="BT98" s="32">
        <v>0.96436058700209648</v>
      </c>
      <c r="BU98" s="32">
        <v>0.99171842650103514</v>
      </c>
      <c r="BV98" s="32">
        <v>0.9668737060041408</v>
      </c>
      <c r="BW98" s="32">
        <v>0.95387840670859536</v>
      </c>
      <c r="BX98" s="32">
        <v>0.98322851153039836</v>
      </c>
      <c r="BY98" s="32">
        <v>0.93920335429769397</v>
      </c>
      <c r="BZ98" s="32">
        <v>0.96593244899819375</v>
      </c>
      <c r="CA98" s="32">
        <v>0.99378881987577639</v>
      </c>
      <c r="CB98" s="32">
        <v>0.97368421052631582</v>
      </c>
      <c r="CC98" s="32">
        <v>0.98550724637681164</v>
      </c>
      <c r="CD98" s="32">
        <v>0.92546583850931674</v>
      </c>
      <c r="CE98" s="32">
        <v>0.98367346938775513</v>
      </c>
      <c r="CF98" s="32">
        <v>0.9938775510204082</v>
      </c>
      <c r="CG98" s="32">
        <v>0.99183673469387756</v>
      </c>
      <c r="CH98" s="32">
        <v>0.97826198148432308</v>
      </c>
      <c r="CI98" s="32">
        <v>0.97314049586776863</v>
      </c>
      <c r="CJ98" s="32">
        <v>0.97308488612836441</v>
      </c>
      <c r="CK98" s="32">
        <v>0.92561983471074383</v>
      </c>
      <c r="CL98" s="32">
        <v>0.92148760330578516</v>
      </c>
      <c r="CM98" s="32">
        <v>0.97142857142857142</v>
      </c>
      <c r="CN98" s="32">
        <v>0.97346938775510206</v>
      </c>
      <c r="CO98" s="32">
        <v>0.99183673469387756</v>
      </c>
      <c r="CP98" s="32">
        <v>0.96143821627003034</v>
      </c>
      <c r="CQ98" s="32">
        <v>0.86570247933884292</v>
      </c>
      <c r="CR98" s="32">
        <v>0.95661157024793386</v>
      </c>
      <c r="CS98" s="32">
        <v>0.85537190082644632</v>
      </c>
      <c r="CT98" s="32">
        <v>0.84917355371900827</v>
      </c>
      <c r="CU98" s="32">
        <v>0.90702479338842978</v>
      </c>
      <c r="CV98" s="32">
        <v>0.9276859504132231</v>
      </c>
      <c r="CW98" s="32">
        <v>0.90289256198347112</v>
      </c>
      <c r="CX98" s="32">
        <v>0.89492325855962218</v>
      </c>
      <c r="CY98" s="32">
        <v>0.93388429752066116</v>
      </c>
      <c r="CZ98" s="32">
        <v>0.91322314049586772</v>
      </c>
      <c r="DA98" s="32">
        <v>0.89876033057851235</v>
      </c>
      <c r="DB98" s="32">
        <v>0.92561983471074383</v>
      </c>
      <c r="DC98" s="32">
        <v>0.93595041322314054</v>
      </c>
      <c r="DD98" s="32">
        <v>0.91322314049586772</v>
      </c>
      <c r="DE98" s="32">
        <v>0.96694214876033058</v>
      </c>
      <c r="DF98" s="32">
        <v>0.9268004722550176</v>
      </c>
      <c r="DG98" s="32">
        <v>0.94849785407725318</v>
      </c>
      <c r="DH98" s="32">
        <v>0.91803278688524592</v>
      </c>
      <c r="DI98" s="32">
        <v>0.98927038626609443</v>
      </c>
      <c r="DJ98" s="32">
        <v>0.97644539614561032</v>
      </c>
      <c r="DK98" s="32">
        <v>0.94605809128630702</v>
      </c>
      <c r="DL98" s="32">
        <v>0.94262295081967218</v>
      </c>
      <c r="DM98" s="32">
        <v>0.93801652892561982</v>
      </c>
      <c r="DN98" s="32">
        <v>0.95127771348654322</v>
      </c>
      <c r="DO98" s="32">
        <v>0.89247311827956988</v>
      </c>
      <c r="DP98" s="32">
        <v>0.99152542372881358</v>
      </c>
      <c r="DQ98" s="32">
        <v>0.84516129032258069</v>
      </c>
      <c r="DR98" s="32">
        <v>0.91428571428571426</v>
      </c>
      <c r="DS98" s="32">
        <v>0.96344086021505382</v>
      </c>
      <c r="DT98" s="32">
        <v>1</v>
      </c>
      <c r="DU98" s="32">
        <v>0.98297872340425529</v>
      </c>
      <c r="DV98" s="32">
        <v>0.94140930431942671</v>
      </c>
      <c r="DW98" s="32">
        <v>0.91067538126361658</v>
      </c>
      <c r="DX98" s="32">
        <v>0.96483516483516485</v>
      </c>
      <c r="DY98" s="32">
        <v>0.86492374727668841</v>
      </c>
      <c r="DZ98" s="32">
        <v>0.86899563318777295</v>
      </c>
      <c r="EA98" s="32">
        <v>0.87777777777777777</v>
      </c>
      <c r="EB98" s="32">
        <v>0.9516483516483516</v>
      </c>
      <c r="EC98" s="32">
        <v>0.92307692307692313</v>
      </c>
      <c r="ED98" s="32">
        <v>0.90884756843804226</v>
      </c>
      <c r="EE98" s="32">
        <v>0.89978213507625271</v>
      </c>
      <c r="EF98" s="32">
        <v>0.94130434782608696</v>
      </c>
      <c r="EG98" s="32">
        <v>0.8493449781659389</v>
      </c>
      <c r="EH98" s="32">
        <v>0.86899563318777295</v>
      </c>
      <c r="EI98" s="32">
        <v>0.93246187363834421</v>
      </c>
      <c r="EJ98" s="32">
        <v>0.91921397379912662</v>
      </c>
      <c r="EK98" s="32">
        <v>0.93899782135076248</v>
      </c>
      <c r="EL98" s="32">
        <v>0.90715725186346918</v>
      </c>
    </row>
    <row r="99" spans="38:142" x14ac:dyDescent="0.25">
      <c r="AL99" s="19" t="s">
        <v>149</v>
      </c>
      <c r="AM99" s="32">
        <v>0.92467043314500941</v>
      </c>
      <c r="AN99" s="32">
        <v>0.97740112994350281</v>
      </c>
      <c r="AO99" s="32">
        <v>0.96421845574387943</v>
      </c>
      <c r="AP99" s="32">
        <v>0.95895522388059706</v>
      </c>
      <c r="AQ99" s="32">
        <v>0.967984934086629</v>
      </c>
      <c r="AR99" s="32">
        <v>0.95856873822975519</v>
      </c>
      <c r="AS99" s="32">
        <v>0.97740112994350281</v>
      </c>
      <c r="AT99" s="32">
        <v>0.96131429213898223</v>
      </c>
      <c r="AU99" s="32">
        <v>0.98493408662900184</v>
      </c>
      <c r="AV99" s="32">
        <v>0.98681732580037662</v>
      </c>
      <c r="AW99" s="32">
        <v>0.96986817325800379</v>
      </c>
      <c r="AX99" s="32">
        <v>0.99435028248587576</v>
      </c>
      <c r="AY99" s="32">
        <v>0.96421845574387943</v>
      </c>
      <c r="AZ99" s="32">
        <v>0.97551789077212803</v>
      </c>
      <c r="BA99" s="32">
        <v>0.95291902071563084</v>
      </c>
      <c r="BB99" s="32">
        <v>0.97551789077212792</v>
      </c>
      <c r="BC99" s="32">
        <v>0.92669172932330823</v>
      </c>
      <c r="BD99" s="32">
        <v>0.96992481203007519</v>
      </c>
      <c r="BE99" s="32">
        <v>0.93296089385474856</v>
      </c>
      <c r="BF99" s="32">
        <v>0.95903165735567975</v>
      </c>
      <c r="BG99" s="32">
        <v>0.98684210526315785</v>
      </c>
      <c r="BH99" s="32">
        <v>0.99624060150375937</v>
      </c>
      <c r="BI99" s="32">
        <v>0.99248120300751874</v>
      </c>
      <c r="BJ99" s="32">
        <v>0.96631042890546393</v>
      </c>
      <c r="BK99" s="32">
        <v>0.95149253731343286</v>
      </c>
      <c r="BL99" s="32">
        <v>0.94785847299813786</v>
      </c>
      <c r="BM99" s="32">
        <v>0.95522388059701491</v>
      </c>
      <c r="BN99" s="32">
        <v>0.96309963099630991</v>
      </c>
      <c r="BO99" s="32">
        <v>0.92350746268656714</v>
      </c>
      <c r="BP99" s="32">
        <v>0.81750465549348228</v>
      </c>
      <c r="BQ99" s="32">
        <v>0.83022388059701491</v>
      </c>
      <c r="BR99" s="32">
        <v>0.91270150295456565</v>
      </c>
      <c r="BS99" s="32">
        <v>0.95344506517690875</v>
      </c>
      <c r="BT99" s="32">
        <v>0.97242647058823528</v>
      </c>
      <c r="BU99" s="32">
        <v>0.96089385474860334</v>
      </c>
      <c r="BV99" s="32">
        <v>0.99451553930530168</v>
      </c>
      <c r="BW99" s="32">
        <v>0.98510242085661082</v>
      </c>
      <c r="BX99" s="32">
        <v>0.97588126159554733</v>
      </c>
      <c r="BY99" s="32">
        <v>0.97765363128491622</v>
      </c>
      <c r="BZ99" s="32">
        <v>0.97427403479373187</v>
      </c>
      <c r="CA99" s="32">
        <v>0.97416974169741699</v>
      </c>
      <c r="CB99" s="32">
        <v>0.98194945848375448</v>
      </c>
      <c r="CC99" s="32">
        <v>0.9576427255985267</v>
      </c>
      <c r="CD99" s="32">
        <v>0.97242647058823528</v>
      </c>
      <c r="CE99" s="32">
        <v>0.98137802607076352</v>
      </c>
      <c r="CF99" s="32">
        <v>0.98357664233576647</v>
      </c>
      <c r="CG99" s="32">
        <v>0.95903165735567975</v>
      </c>
      <c r="CH99" s="32">
        <v>0.97288210316144885</v>
      </c>
      <c r="CI99" s="32">
        <v>0.94659300184162065</v>
      </c>
      <c r="CJ99" s="32">
        <v>0.9779411764705882</v>
      </c>
      <c r="CK99" s="32">
        <v>0.94698354661791595</v>
      </c>
      <c r="CL99" s="32">
        <v>0.92740471869328489</v>
      </c>
      <c r="CM99" s="32">
        <v>0.94280442804428044</v>
      </c>
      <c r="CN99" s="32">
        <v>0.96526508226691043</v>
      </c>
      <c r="CO99" s="32">
        <v>0.9375</v>
      </c>
      <c r="CP99" s="32">
        <v>0.94921313627637149</v>
      </c>
      <c r="CQ99" s="32">
        <v>0.92066420664206639</v>
      </c>
      <c r="CR99" s="32">
        <v>0.97822141560798548</v>
      </c>
      <c r="CS99" s="32">
        <v>0.9280442804428044</v>
      </c>
      <c r="CT99" s="32">
        <v>0.91023339317773788</v>
      </c>
      <c r="CU99" s="32">
        <v>0.93065693430656937</v>
      </c>
      <c r="CV99" s="32">
        <v>0.94054054054054059</v>
      </c>
      <c r="CW99" s="32">
        <v>0.94160583941605835</v>
      </c>
      <c r="CX99" s="32">
        <v>0.93570951573339467</v>
      </c>
      <c r="CY99" s="32">
        <v>0.92222222222222228</v>
      </c>
      <c r="CZ99" s="32">
        <v>0.95660036166365281</v>
      </c>
      <c r="DA99" s="32">
        <v>0.92606284658040661</v>
      </c>
      <c r="DB99" s="32">
        <v>0.91926605504587156</v>
      </c>
      <c r="DC99" s="32">
        <v>0.96678966789667897</v>
      </c>
      <c r="DD99" s="32">
        <v>0.94181818181818178</v>
      </c>
      <c r="DE99" s="32">
        <v>0.95787545787545791</v>
      </c>
      <c r="DF99" s="32">
        <v>0.94151925615749588</v>
      </c>
      <c r="DG99" s="32">
        <v>0.92449355432780844</v>
      </c>
      <c r="DH99" s="32">
        <v>0.94171220400728595</v>
      </c>
      <c r="DI99" s="32">
        <v>0.94290976058931864</v>
      </c>
      <c r="DJ99" s="32">
        <v>0.93001841620626147</v>
      </c>
      <c r="DK99" s="32">
        <v>0.93223443223443225</v>
      </c>
      <c r="DL99" s="32">
        <v>0.96376811594202894</v>
      </c>
      <c r="DM99" s="32">
        <v>0.97074954296160876</v>
      </c>
      <c r="DN99" s="32">
        <v>0.94369800375267765</v>
      </c>
      <c r="DO99" s="32">
        <v>0.95580110497237569</v>
      </c>
      <c r="DP99" s="32">
        <v>0.93065693430656937</v>
      </c>
      <c r="DQ99" s="32">
        <v>0.90727272727272723</v>
      </c>
      <c r="DR99" s="32">
        <v>0.97951582867783982</v>
      </c>
      <c r="DS99" s="32">
        <v>0.94843462246777166</v>
      </c>
      <c r="DT99" s="32">
        <v>0.93211009174311932</v>
      </c>
      <c r="DU99" s="32">
        <v>0.95825771324863884</v>
      </c>
      <c r="DV99" s="32">
        <v>0.94457843181272028</v>
      </c>
      <c r="DW99" s="32">
        <v>0.92307692307692313</v>
      </c>
      <c r="DX99" s="32">
        <v>0.94736842105263153</v>
      </c>
      <c r="DY99" s="32">
        <v>0.90744101633393826</v>
      </c>
      <c r="DZ99" s="32">
        <v>0.95716945996275604</v>
      </c>
      <c r="EA99" s="32">
        <v>0.96520146520146521</v>
      </c>
      <c r="EB99" s="32">
        <v>0.9438405797101449</v>
      </c>
      <c r="EC99" s="32">
        <v>0.97435897435897434</v>
      </c>
      <c r="ED99" s="32">
        <v>0.94549383424240485</v>
      </c>
      <c r="EE99" s="32">
        <v>0.92265193370165743</v>
      </c>
      <c r="EF99" s="32">
        <v>0.95306859205776173</v>
      </c>
      <c r="EG99" s="32">
        <v>0.93370165745856348</v>
      </c>
      <c r="EH99" s="32">
        <v>0.97974217311233891</v>
      </c>
      <c r="EI99" s="32">
        <v>0.94678899082568813</v>
      </c>
      <c r="EJ99" s="32">
        <v>0.97111913357400725</v>
      </c>
      <c r="EK99" s="32">
        <v>0.96461824953445063</v>
      </c>
      <c r="EL99" s="32">
        <v>0.95309867575206675</v>
      </c>
    </row>
    <row r="100" spans="38:142" x14ac:dyDescent="0.25">
      <c r="AL100" s="19" t="s">
        <v>150</v>
      </c>
      <c r="AM100" s="32">
        <v>0.97902097902097907</v>
      </c>
      <c r="AN100" s="32">
        <v>0.99282296650717705</v>
      </c>
      <c r="AO100" s="32">
        <v>0.96904761904761905</v>
      </c>
      <c r="AP100" s="32">
        <v>0.98394495412844041</v>
      </c>
      <c r="AQ100" s="32">
        <v>0.97902097902097907</v>
      </c>
      <c r="AR100" s="32">
        <v>0.98108747044917255</v>
      </c>
      <c r="AS100" s="32">
        <v>0.97393364928909953</v>
      </c>
      <c r="AT100" s="32">
        <v>0.97983980249478098</v>
      </c>
      <c r="AU100" s="32">
        <v>0.95529411764705885</v>
      </c>
      <c r="AV100" s="32">
        <v>0.9766899766899767</v>
      </c>
      <c r="AW100" s="32">
        <v>0.95529411764705885</v>
      </c>
      <c r="AX100" s="32">
        <v>0.9838337182448037</v>
      </c>
      <c r="AY100" s="32">
        <v>0.95529411764705885</v>
      </c>
      <c r="AZ100" s="32">
        <v>0.97169811320754718</v>
      </c>
      <c r="BA100" s="32">
        <v>0.94312796208530802</v>
      </c>
      <c r="BB100" s="32">
        <v>0.96303316045268728</v>
      </c>
      <c r="BC100" s="32">
        <v>0.96976744186046515</v>
      </c>
      <c r="BD100" s="32">
        <v>0.99302325581395345</v>
      </c>
      <c r="BE100" s="32">
        <v>0.96976744186046515</v>
      </c>
      <c r="BF100" s="32">
        <v>0.94312796208530802</v>
      </c>
      <c r="BG100" s="32">
        <v>0.96976744186046515</v>
      </c>
      <c r="BH100" s="32">
        <v>0.97209302325581393</v>
      </c>
      <c r="BI100" s="32">
        <v>0.96082949308755761</v>
      </c>
      <c r="BJ100" s="32">
        <v>0.96833943711771853</v>
      </c>
      <c r="BK100" s="32">
        <v>0.95923261390887293</v>
      </c>
      <c r="BL100" s="32">
        <v>0.91885441527446299</v>
      </c>
      <c r="BM100" s="32">
        <v>0.92009132420091322</v>
      </c>
      <c r="BN100" s="32">
        <v>0.96145124716553287</v>
      </c>
      <c r="BO100" s="32">
        <v>0.94736842105263153</v>
      </c>
      <c r="BP100" s="32">
        <v>0.89268292682926831</v>
      </c>
      <c r="BQ100" s="32">
        <v>0.92682926829268297</v>
      </c>
      <c r="BR100" s="32">
        <v>0.9323586023891951</v>
      </c>
      <c r="BS100" s="32">
        <v>0.95823665893271459</v>
      </c>
      <c r="BT100" s="32">
        <v>0.99771689497716898</v>
      </c>
      <c r="BU100" s="32">
        <v>0.94663573085846864</v>
      </c>
      <c r="BV100" s="32">
        <v>0.9634703196347032</v>
      </c>
      <c r="BW100" s="32">
        <v>0.9719626168224299</v>
      </c>
      <c r="BX100" s="32">
        <v>0.97945205479452058</v>
      </c>
      <c r="BY100" s="32">
        <v>0.95432692307692313</v>
      </c>
      <c r="BZ100" s="32">
        <v>0.96740017129956135</v>
      </c>
      <c r="CA100" s="32">
        <v>0.96598639455782309</v>
      </c>
      <c r="CB100" s="32">
        <v>0.98855835240274603</v>
      </c>
      <c r="CC100" s="32">
        <v>0.92873563218390809</v>
      </c>
      <c r="CD100" s="32">
        <v>0.95945945945945943</v>
      </c>
      <c r="CE100" s="32">
        <v>0.96598639455782309</v>
      </c>
      <c r="CF100" s="32">
        <v>0.97315436241610742</v>
      </c>
      <c r="CG100" s="32">
        <v>0.9634703196347032</v>
      </c>
      <c r="CH100" s="32">
        <v>0.9636215593160814</v>
      </c>
      <c r="CI100" s="32">
        <v>0.95104895104895104</v>
      </c>
      <c r="CJ100" s="32">
        <v>0.94784580498866211</v>
      </c>
      <c r="CK100" s="32">
        <v>0.89767441860465114</v>
      </c>
      <c r="CL100" s="32">
        <v>0.92523364485981308</v>
      </c>
      <c r="CM100" s="32">
        <v>0.95104895104895104</v>
      </c>
      <c r="CN100" s="32">
        <v>0.92889908256880738</v>
      </c>
      <c r="CO100" s="32">
        <v>0.960093896713615</v>
      </c>
      <c r="CP100" s="32">
        <v>0.93740639283335003</v>
      </c>
      <c r="CQ100" s="32">
        <v>0.94626168224299068</v>
      </c>
      <c r="CR100" s="32">
        <v>0.96948356807511737</v>
      </c>
      <c r="CS100" s="32">
        <v>0.94626168224299068</v>
      </c>
      <c r="CT100" s="32">
        <v>0.91588785046728971</v>
      </c>
      <c r="CU100" s="32">
        <v>0.94626168224299068</v>
      </c>
      <c r="CV100" s="32">
        <v>0.94626168224299068</v>
      </c>
      <c r="CW100" s="32">
        <v>0.95381062355658197</v>
      </c>
      <c r="CX100" s="32">
        <v>0.94631839586727884</v>
      </c>
      <c r="CY100" s="32">
        <v>0.91383219954648531</v>
      </c>
      <c r="CZ100" s="32">
        <v>0.95316159250585475</v>
      </c>
      <c r="DA100" s="32">
        <v>0.90970654627539504</v>
      </c>
      <c r="DB100" s="32">
        <v>0.95132743362831862</v>
      </c>
      <c r="DC100" s="32">
        <v>0.96839729119638829</v>
      </c>
      <c r="DD100" s="32">
        <v>0.94606741573033704</v>
      </c>
      <c r="DE100" s="32">
        <v>0.96659242761692654</v>
      </c>
      <c r="DF100" s="32">
        <v>0.94415498664281494</v>
      </c>
      <c r="DG100" s="32">
        <v>0.90566037735849059</v>
      </c>
      <c r="DH100" s="32">
        <v>0.94690265486725667</v>
      </c>
      <c r="DI100" s="32">
        <v>0.94356659142212185</v>
      </c>
      <c r="DJ100" s="32">
        <v>0.93793103448275861</v>
      </c>
      <c r="DK100" s="32">
        <v>0.94356659142212185</v>
      </c>
      <c r="DL100" s="32">
        <v>0.94036697247706424</v>
      </c>
      <c r="DM100" s="32">
        <v>0.94239631336405527</v>
      </c>
      <c r="DN100" s="32">
        <v>0.93719864791340979</v>
      </c>
      <c r="DO100" s="32">
        <v>0.93548387096774188</v>
      </c>
      <c r="DP100" s="32">
        <v>0.97528089887640446</v>
      </c>
      <c r="DQ100" s="32">
        <v>0.92470588235294116</v>
      </c>
      <c r="DR100" s="32">
        <v>0.94</v>
      </c>
      <c r="DS100" s="32">
        <v>0.967741935483871</v>
      </c>
      <c r="DT100" s="32">
        <v>0.93807339449541283</v>
      </c>
      <c r="DU100" s="32">
        <v>0.9575892857142857</v>
      </c>
      <c r="DV100" s="32">
        <v>0.94841075255580798</v>
      </c>
      <c r="DW100" s="32">
        <v>0.89767441860465114</v>
      </c>
      <c r="DX100" s="32">
        <v>0.95495495495495497</v>
      </c>
      <c r="DY100" s="32">
        <v>0.95022624434389136</v>
      </c>
      <c r="DZ100" s="32">
        <v>0.91836734693877553</v>
      </c>
      <c r="EA100" s="32">
        <v>0.95022624434389136</v>
      </c>
      <c r="EB100" s="32">
        <v>0.93503480278422269</v>
      </c>
      <c r="EC100" s="32">
        <v>0.94144144144144148</v>
      </c>
      <c r="ED100" s="32">
        <v>0.93541792191597561</v>
      </c>
      <c r="EE100" s="32">
        <v>0.93271461716937354</v>
      </c>
      <c r="EF100" s="32">
        <v>0.95768374164810688</v>
      </c>
      <c r="EG100" s="32">
        <v>0.92198581560283688</v>
      </c>
      <c r="EH100" s="32">
        <v>0.97430406852248397</v>
      </c>
      <c r="EI100" s="32">
        <v>0.96188340807174888</v>
      </c>
      <c r="EJ100" s="32">
        <v>0.96188340807174888</v>
      </c>
      <c r="EK100" s="32">
        <v>0.96188340807174888</v>
      </c>
      <c r="EL100" s="32">
        <v>0.95319120959400683</v>
      </c>
    </row>
    <row r="101" spans="38:142" x14ac:dyDescent="0.25">
      <c r="AL101" s="19" t="s">
        <v>151</v>
      </c>
      <c r="AM101" s="32">
        <v>0.95041322314049592</v>
      </c>
      <c r="AN101" s="32">
        <v>0.97520661157024791</v>
      </c>
      <c r="AO101" s="32">
        <v>0.93270365997638727</v>
      </c>
      <c r="AP101" s="32">
        <v>0.95395513577331759</v>
      </c>
      <c r="AQ101" s="32">
        <v>0.95513577331759147</v>
      </c>
      <c r="AR101" s="32">
        <v>0.97520661157024791</v>
      </c>
      <c r="AS101" s="32">
        <v>0.96694214876033058</v>
      </c>
      <c r="AT101" s="32">
        <v>0.95850902344408839</v>
      </c>
      <c r="AU101" s="32">
        <v>0.9279811097992916</v>
      </c>
      <c r="AV101" s="32">
        <v>0.98668280871670699</v>
      </c>
      <c r="AW101" s="32">
        <v>0.98583234946871312</v>
      </c>
      <c r="AX101" s="32">
        <v>0.96576151121605669</v>
      </c>
      <c r="AY101" s="32">
        <v>0.97852028639618138</v>
      </c>
      <c r="AZ101" s="32">
        <v>0.99643705463182897</v>
      </c>
      <c r="BA101" s="32">
        <v>0.99045346062052508</v>
      </c>
      <c r="BB101" s="32">
        <v>0.97595265440704337</v>
      </c>
      <c r="BC101" s="32">
        <v>0.86987104337631882</v>
      </c>
      <c r="BD101" s="32">
        <v>0.98090692124105017</v>
      </c>
      <c r="BE101" s="32">
        <v>0.88484848484848488</v>
      </c>
      <c r="BF101" s="32">
        <v>0.87249114521841797</v>
      </c>
      <c r="BG101" s="32">
        <v>0.91676436107854631</v>
      </c>
      <c r="BH101" s="32">
        <v>0.97596153846153844</v>
      </c>
      <c r="BI101" s="32">
        <v>0.97090909090909094</v>
      </c>
      <c r="BJ101" s="32">
        <v>0.92453608359049244</v>
      </c>
      <c r="BK101" s="32">
        <v>0.94701086956521741</v>
      </c>
      <c r="BL101" s="32">
        <v>0.9623655913978495</v>
      </c>
      <c r="BM101" s="32">
        <v>0.92493297587131362</v>
      </c>
      <c r="BN101" s="32">
        <v>0.94096812278630459</v>
      </c>
      <c r="BO101" s="32">
        <v>0.94109589041095887</v>
      </c>
      <c r="BP101" s="32">
        <v>0.87413554633471646</v>
      </c>
      <c r="BQ101" s="32">
        <v>0.90581717451523547</v>
      </c>
      <c r="BR101" s="32">
        <v>0.92804659584022797</v>
      </c>
      <c r="BS101" s="32">
        <v>0.9885057471264368</v>
      </c>
      <c r="BT101" s="32">
        <v>0.97077509529860229</v>
      </c>
      <c r="BU101" s="32">
        <v>0.98618090452261309</v>
      </c>
      <c r="BV101" s="32">
        <v>0.99030303030303035</v>
      </c>
      <c r="BW101" s="32">
        <v>0.99358974358974361</v>
      </c>
      <c r="BX101" s="32">
        <v>0.97077509529860229</v>
      </c>
      <c r="BY101" s="32">
        <v>0.97077509529860229</v>
      </c>
      <c r="BZ101" s="32">
        <v>0.98155781591966151</v>
      </c>
      <c r="CA101" s="32">
        <v>0.94166666666666665</v>
      </c>
      <c r="CB101" s="32">
        <v>0.97454545454545449</v>
      </c>
      <c r="CC101" s="32">
        <v>0.95476190476190481</v>
      </c>
      <c r="CD101" s="32">
        <v>0.98937426210153478</v>
      </c>
      <c r="CE101" s="32">
        <v>0.97575757575757571</v>
      </c>
      <c r="CF101" s="32">
        <v>0.97333333333333338</v>
      </c>
      <c r="CG101" s="32">
        <v>0.98060606060606059</v>
      </c>
      <c r="CH101" s="32">
        <v>0.97000646539607582</v>
      </c>
      <c r="CI101" s="32">
        <v>0.97635933806146569</v>
      </c>
      <c r="CJ101" s="32">
        <v>0.99049881235154391</v>
      </c>
      <c r="CK101" s="32">
        <v>0.95878787878787874</v>
      </c>
      <c r="CL101" s="32">
        <v>0.97978596908442328</v>
      </c>
      <c r="CM101" s="32">
        <v>0.97635933806146569</v>
      </c>
      <c r="CN101" s="32">
        <v>0.98808104886769965</v>
      </c>
      <c r="CO101" s="32">
        <v>0.91499409681227861</v>
      </c>
      <c r="CP101" s="32">
        <v>0.96926664028953646</v>
      </c>
      <c r="CQ101" s="32">
        <v>0.94096812278630459</v>
      </c>
      <c r="CR101" s="32">
        <v>0.98929845422116525</v>
      </c>
      <c r="CS101" s="32">
        <v>0.94933655006031359</v>
      </c>
      <c r="CT101" s="32">
        <v>0.97472924187725629</v>
      </c>
      <c r="CU101" s="32">
        <v>0.99515151515151512</v>
      </c>
      <c r="CV101" s="32">
        <v>0.97976190476190472</v>
      </c>
      <c r="CW101" s="32">
        <v>0.98323353293413174</v>
      </c>
      <c r="CX101" s="32">
        <v>0.97321133168465579</v>
      </c>
      <c r="CY101" s="32">
        <v>0.99055489964580878</v>
      </c>
      <c r="CZ101" s="32">
        <v>0.90318772136953951</v>
      </c>
      <c r="DA101" s="32">
        <v>0.9728132387706856</v>
      </c>
      <c r="DB101" s="32">
        <v>0.97402597402597402</v>
      </c>
      <c r="DC101" s="32">
        <v>0.99172576832151305</v>
      </c>
      <c r="DD101" s="32">
        <v>0.98937426210153478</v>
      </c>
      <c r="DE101" s="32">
        <v>0.98939929328621912</v>
      </c>
      <c r="DF101" s="32">
        <v>0.97301159393161074</v>
      </c>
      <c r="DG101" s="32">
        <v>0.94536817102137771</v>
      </c>
      <c r="DH101" s="32">
        <v>0.99055489964580878</v>
      </c>
      <c r="DI101" s="32">
        <v>0.95808383233532934</v>
      </c>
      <c r="DJ101" s="32">
        <v>0.99152542372881358</v>
      </c>
      <c r="DK101" s="32">
        <v>0.95041322314049592</v>
      </c>
      <c r="DL101" s="32">
        <v>0.97402597402597402</v>
      </c>
      <c r="DM101" s="32">
        <v>0.99525504151838673</v>
      </c>
      <c r="DN101" s="32">
        <v>0.97217522363088371</v>
      </c>
      <c r="DO101" s="32">
        <v>0.96915776986951363</v>
      </c>
      <c r="DP101" s="32">
        <v>0.97756788665879579</v>
      </c>
      <c r="DQ101" s="32">
        <v>0.95255041518386718</v>
      </c>
      <c r="DR101" s="32">
        <v>0.95255041518386718</v>
      </c>
      <c r="DS101" s="32">
        <v>0.96506024096385545</v>
      </c>
      <c r="DT101" s="32">
        <v>0.95513577331759147</v>
      </c>
      <c r="DU101" s="32">
        <v>0.98347107438016534</v>
      </c>
      <c r="DV101" s="32">
        <v>0.9650705107939509</v>
      </c>
      <c r="DW101" s="32">
        <v>0.96526946107784428</v>
      </c>
      <c r="DX101" s="32">
        <v>0.97599039615846339</v>
      </c>
      <c r="DY101" s="32">
        <v>0.96246973365617439</v>
      </c>
      <c r="DZ101" s="32">
        <v>0.9739027283511269</v>
      </c>
      <c r="EA101" s="32">
        <v>0.96526946107784428</v>
      </c>
      <c r="EB101" s="32">
        <v>0.96130592503022971</v>
      </c>
      <c r="EC101" s="32">
        <v>0.97491039426523296</v>
      </c>
      <c r="ED101" s="32">
        <v>0.96844544280241662</v>
      </c>
      <c r="EE101" s="32">
        <v>0.93001186239620404</v>
      </c>
      <c r="EF101" s="32">
        <v>0.97030878859857483</v>
      </c>
      <c r="EG101" s="32">
        <v>0.92380952380952386</v>
      </c>
      <c r="EH101" s="32">
        <v>0.96923076923076923</v>
      </c>
      <c r="EI101" s="32">
        <v>0.9537366548042705</v>
      </c>
      <c r="EJ101" s="32">
        <v>0.99525504151838673</v>
      </c>
      <c r="EK101" s="32">
        <v>0.96912114014251782</v>
      </c>
      <c r="EL101" s="32">
        <v>0.95878196864289233</v>
      </c>
    </row>
    <row r="102" spans="38:142" x14ac:dyDescent="0.25">
      <c r="AL102" s="19" t="s">
        <v>152</v>
      </c>
      <c r="AM102" s="32">
        <v>0.966374269005848</v>
      </c>
      <c r="AN102" s="32">
        <v>0.98375184638109303</v>
      </c>
      <c r="AO102" s="32">
        <v>0.98243045387994143</v>
      </c>
      <c r="AP102" s="32">
        <v>0.9683908045977011</v>
      </c>
      <c r="AQ102" s="32">
        <v>0.96328928046989726</v>
      </c>
      <c r="AR102" s="32">
        <v>0.9619326500732065</v>
      </c>
      <c r="AS102" s="32">
        <v>0.9793205317577548</v>
      </c>
      <c r="AT102" s="32">
        <v>0.97221283373792033</v>
      </c>
      <c r="AU102" s="32">
        <v>0.98300283286118983</v>
      </c>
      <c r="AV102" s="32">
        <v>0.9941860465116279</v>
      </c>
      <c r="AW102" s="32">
        <v>0.96028368794326247</v>
      </c>
      <c r="AX102" s="32">
        <v>0.97301136363636365</v>
      </c>
      <c r="AY102" s="32">
        <v>0.98126801152737753</v>
      </c>
      <c r="AZ102" s="32">
        <v>0.97810218978102192</v>
      </c>
      <c r="BA102" s="32">
        <v>0.97701149425287359</v>
      </c>
      <c r="BB102" s="32">
        <v>0.97812366093053094</v>
      </c>
      <c r="BC102" s="32">
        <v>0.95670995670995673</v>
      </c>
      <c r="BD102" s="32">
        <v>0.97443181818181823</v>
      </c>
      <c r="BE102" s="32">
        <v>0.9725433526011561</v>
      </c>
      <c r="BF102" s="32">
        <v>0.96098265895953761</v>
      </c>
      <c r="BG102" s="32">
        <v>0.98280802292263614</v>
      </c>
      <c r="BH102" s="32">
        <v>0.97443181818181823</v>
      </c>
      <c r="BI102" s="32">
        <v>0.96418338108882518</v>
      </c>
      <c r="BJ102" s="32">
        <v>0.96944157266367814</v>
      </c>
      <c r="BK102" s="32">
        <v>0.92772861356932157</v>
      </c>
      <c r="BL102" s="32">
        <v>0.90881458966565354</v>
      </c>
      <c r="BM102" s="32">
        <v>0.91851851851851851</v>
      </c>
      <c r="BN102" s="32">
        <v>0.96506550218340614</v>
      </c>
      <c r="BO102" s="32">
        <v>0.88455772113943032</v>
      </c>
      <c r="BP102" s="32">
        <v>0.8483063328424153</v>
      </c>
      <c r="BQ102" s="32">
        <v>0.88667687595712097</v>
      </c>
      <c r="BR102" s="32">
        <v>0.90566687912512367</v>
      </c>
      <c r="BS102" s="32">
        <v>0.98150782361308675</v>
      </c>
      <c r="BT102" s="32">
        <v>0.97965116279069764</v>
      </c>
      <c r="BU102" s="32">
        <v>0.98132183908045978</v>
      </c>
      <c r="BV102" s="32">
        <v>0.98838896952104505</v>
      </c>
      <c r="BW102" s="32">
        <v>0.97684515195369026</v>
      </c>
      <c r="BX102" s="32">
        <v>0.97525473071324598</v>
      </c>
      <c r="BY102" s="32">
        <v>0.98978102189781025</v>
      </c>
      <c r="BZ102" s="32">
        <v>0.98182152851000504</v>
      </c>
      <c r="CA102" s="32">
        <v>0.97988505747126442</v>
      </c>
      <c r="CB102" s="32">
        <v>0.98421807747489243</v>
      </c>
      <c r="CC102" s="32">
        <v>0.98573466476462202</v>
      </c>
      <c r="CD102" s="32">
        <v>0.95994277539341921</v>
      </c>
      <c r="CE102" s="32">
        <v>0.98527245949926368</v>
      </c>
      <c r="CF102" s="32">
        <v>0.98837209302325579</v>
      </c>
      <c r="CG102" s="32">
        <v>0.97813411078717205</v>
      </c>
      <c r="CH102" s="32">
        <v>0.98022274834484135</v>
      </c>
      <c r="CI102" s="32">
        <v>0.9871428571428571</v>
      </c>
      <c r="CJ102" s="32">
        <v>0.96732954545454541</v>
      </c>
      <c r="CK102" s="32">
        <v>0.97844827586206895</v>
      </c>
      <c r="CL102" s="32">
        <v>0.98581560283687941</v>
      </c>
      <c r="CM102" s="32">
        <v>0.99136690647482018</v>
      </c>
      <c r="CN102" s="32">
        <v>0.97417503586800569</v>
      </c>
      <c r="CO102" s="32">
        <v>0.99568965517241381</v>
      </c>
      <c r="CP102" s="32">
        <v>0.98285255411594152</v>
      </c>
      <c r="CQ102" s="32">
        <v>0.98542274052478129</v>
      </c>
      <c r="CR102" s="32">
        <v>0.97714285714285709</v>
      </c>
      <c r="CS102" s="32">
        <v>0.97421203438395421</v>
      </c>
      <c r="CT102" s="32">
        <v>0.96522948539638387</v>
      </c>
      <c r="CU102" s="32">
        <v>0.97857142857142854</v>
      </c>
      <c r="CV102" s="32">
        <v>0.99570200573065903</v>
      </c>
      <c r="CW102" s="32">
        <v>0.98703170028818443</v>
      </c>
      <c r="CX102" s="32">
        <v>0.98047317886260699</v>
      </c>
      <c r="CY102" s="32">
        <v>0.97101449275362317</v>
      </c>
      <c r="CZ102" s="32">
        <v>0.99009900990099009</v>
      </c>
      <c r="DA102" s="32">
        <v>0.96718972895863053</v>
      </c>
      <c r="DB102" s="32">
        <v>0.9786324786324786</v>
      </c>
      <c r="DC102" s="32">
        <v>0.98417266187050356</v>
      </c>
      <c r="DD102" s="32">
        <v>0.98307475317348381</v>
      </c>
      <c r="DE102" s="32">
        <v>0.99012693935119889</v>
      </c>
      <c r="DF102" s="32">
        <v>0.98061572352012971</v>
      </c>
      <c r="DG102" s="32">
        <v>0.96387283236994215</v>
      </c>
      <c r="DH102" s="32">
        <v>0.98581560283687941</v>
      </c>
      <c r="DI102" s="32">
        <v>0.95121951219512191</v>
      </c>
      <c r="DJ102" s="32">
        <v>0.97539797395079597</v>
      </c>
      <c r="DK102" s="32">
        <v>0.96820809248554918</v>
      </c>
      <c r="DL102" s="32">
        <v>0.98137535816618915</v>
      </c>
      <c r="DM102" s="32">
        <v>0.97126436781609193</v>
      </c>
      <c r="DN102" s="32">
        <v>0.97102196283150999</v>
      </c>
      <c r="DO102" s="32">
        <v>0.93534482758620685</v>
      </c>
      <c r="DP102" s="32">
        <v>0.96661828737300437</v>
      </c>
      <c r="DQ102" s="32">
        <v>0.92274052478134105</v>
      </c>
      <c r="DR102" s="32">
        <v>0.95545977011494254</v>
      </c>
      <c r="DS102" s="32">
        <v>0.96793002915451898</v>
      </c>
      <c r="DT102" s="32">
        <v>0.97826086956521741</v>
      </c>
      <c r="DU102" s="32">
        <v>0.97360703812316718</v>
      </c>
      <c r="DV102" s="32">
        <v>0.95713733524262834</v>
      </c>
      <c r="DW102" s="32">
        <v>0.966374269005848</v>
      </c>
      <c r="DX102" s="32">
        <v>0.94992636229749627</v>
      </c>
      <c r="DY102" s="32">
        <v>0.96475770925110127</v>
      </c>
      <c r="DZ102" s="32">
        <v>0.96806966618287371</v>
      </c>
      <c r="EA102" s="32">
        <v>0.96943231441048039</v>
      </c>
      <c r="EB102" s="32">
        <v>0.9795620437956204</v>
      </c>
      <c r="EC102" s="32">
        <v>0.98682284040995605</v>
      </c>
      <c r="ED102" s="32">
        <v>0.96927788647905366</v>
      </c>
      <c r="EE102" s="32">
        <v>0.96153846153846156</v>
      </c>
      <c r="EF102" s="32">
        <v>0.95348837209302328</v>
      </c>
      <c r="EG102" s="32">
        <v>0.93016344725111444</v>
      </c>
      <c r="EH102" s="32">
        <v>0.9349112426035503</v>
      </c>
      <c r="EI102" s="32">
        <v>0.97041420118343191</v>
      </c>
      <c r="EJ102" s="32">
        <v>0.95021961932650079</v>
      </c>
      <c r="EK102" s="32">
        <v>0.96750369276218606</v>
      </c>
      <c r="EL102" s="32">
        <v>0.95260557667975243</v>
      </c>
    </row>
    <row r="103" spans="38:142" x14ac:dyDescent="0.25">
      <c r="AL103" s="19" t="s">
        <v>153</v>
      </c>
      <c r="AM103" s="32">
        <v>0.94262295081967218</v>
      </c>
      <c r="AN103" s="32">
        <v>0.96451612903225803</v>
      </c>
      <c r="AO103" s="32">
        <v>0.9560260586319218</v>
      </c>
      <c r="AP103" s="32">
        <v>0.96110210696920584</v>
      </c>
      <c r="AQ103" s="32">
        <v>0.97826086956521741</v>
      </c>
      <c r="AR103" s="32">
        <v>0.95941558441558439</v>
      </c>
      <c r="AS103" s="32">
        <v>0.98327759197324416</v>
      </c>
      <c r="AT103" s="32">
        <v>0.96360304162958621</v>
      </c>
      <c r="AU103" s="32">
        <v>0.93537964458804523</v>
      </c>
      <c r="AV103" s="32">
        <v>0.9712918660287081</v>
      </c>
      <c r="AW103" s="32">
        <v>0.96072013093289688</v>
      </c>
      <c r="AX103" s="32">
        <v>0.97545008183306059</v>
      </c>
      <c r="AY103" s="32">
        <v>0.956661316211878</v>
      </c>
      <c r="AZ103" s="32">
        <v>0.96012759170653905</v>
      </c>
      <c r="BA103" s="32">
        <v>0.9536</v>
      </c>
      <c r="BB103" s="32">
        <v>0.95903294732873245</v>
      </c>
      <c r="BC103" s="32">
        <v>0.91800643086816724</v>
      </c>
      <c r="BD103" s="32">
        <v>0.97423510466988728</v>
      </c>
      <c r="BE103" s="32">
        <v>0.93993506493506496</v>
      </c>
      <c r="BF103" s="32">
        <v>0.9515347334410339</v>
      </c>
      <c r="BG103" s="32">
        <v>0.94285714285714284</v>
      </c>
      <c r="BH103" s="32">
        <v>0.97435897435897434</v>
      </c>
      <c r="BI103" s="32">
        <v>0.96153846153846156</v>
      </c>
      <c r="BJ103" s="32">
        <v>0.95178084466696167</v>
      </c>
      <c r="BK103" s="32">
        <v>0.89710610932475887</v>
      </c>
      <c r="BL103" s="32">
        <v>0.91547049441786288</v>
      </c>
      <c r="BM103" s="32">
        <v>0.91219512195121955</v>
      </c>
      <c r="BN103" s="32">
        <v>0.92245557350565432</v>
      </c>
      <c r="BO103" s="32">
        <v>0.88995215311004783</v>
      </c>
      <c r="BP103" s="32">
        <v>0.81658692185007975</v>
      </c>
      <c r="BQ103" s="32">
        <v>0.85007974481658688</v>
      </c>
      <c r="BR103" s="32">
        <v>0.88626373128231584</v>
      </c>
      <c r="BS103" s="32">
        <v>0.94620253164556967</v>
      </c>
      <c r="BT103" s="32">
        <v>0.94117647058823528</v>
      </c>
      <c r="BU103" s="32">
        <v>0.96984126984126984</v>
      </c>
      <c r="BV103" s="32">
        <v>0.95576619273301733</v>
      </c>
      <c r="BW103" s="32">
        <v>0.9323899371069182</v>
      </c>
      <c r="BX103" s="32">
        <v>0.9102362204724409</v>
      </c>
      <c r="BY103" s="32">
        <v>0.91981132075471694</v>
      </c>
      <c r="BZ103" s="32">
        <v>0.93934627759173839</v>
      </c>
      <c r="CA103" s="32">
        <v>0.94417862838915467</v>
      </c>
      <c r="CB103" s="32">
        <v>0.96692913385826773</v>
      </c>
      <c r="CC103" s="32">
        <v>0.9486356340288925</v>
      </c>
      <c r="CD103" s="32">
        <v>0.95337620578778137</v>
      </c>
      <c r="CE103" s="32">
        <v>0.95707472178060415</v>
      </c>
      <c r="CF103" s="32">
        <v>0.96202531645569622</v>
      </c>
      <c r="CG103" s="32">
        <v>0.94357366771159878</v>
      </c>
      <c r="CH103" s="32">
        <v>0.95368475828742805</v>
      </c>
      <c r="CI103" s="32">
        <v>0.96805111821086265</v>
      </c>
      <c r="CJ103" s="32">
        <v>0.95433070866141734</v>
      </c>
      <c r="CK103" s="32">
        <v>0.94694533762057875</v>
      </c>
      <c r="CL103" s="32">
        <v>0.94032258064516128</v>
      </c>
      <c r="CM103" s="32">
        <v>0.97314375987361768</v>
      </c>
      <c r="CN103" s="32">
        <v>0.94628751974723535</v>
      </c>
      <c r="CO103" s="32">
        <v>0.95562599049128372</v>
      </c>
      <c r="CP103" s="32">
        <v>0.95495814503573662</v>
      </c>
      <c r="CQ103" s="32">
        <v>0.93185419968304284</v>
      </c>
      <c r="CR103" s="32">
        <v>0.95873015873015877</v>
      </c>
      <c r="CS103" s="32">
        <v>0.96758508914100483</v>
      </c>
      <c r="CT103" s="32">
        <v>0.96479999999999999</v>
      </c>
      <c r="CU103" s="32">
        <v>0.952755905511811</v>
      </c>
      <c r="CV103" s="32">
        <v>0.97147385103011097</v>
      </c>
      <c r="CW103" s="32">
        <v>0.952755905511811</v>
      </c>
      <c r="CX103" s="32">
        <v>0.95713644422970567</v>
      </c>
      <c r="CY103" s="32">
        <v>0.95569620253164556</v>
      </c>
      <c r="CZ103" s="32">
        <v>0.9637223974763407</v>
      </c>
      <c r="DA103" s="32">
        <v>0.93429487179487181</v>
      </c>
      <c r="DB103" s="32">
        <v>0.93048973143759872</v>
      </c>
      <c r="DC103" s="32">
        <v>0.96226415094339623</v>
      </c>
      <c r="DD103" s="32">
        <v>0.98256735340729007</v>
      </c>
      <c r="DE103" s="32">
        <v>0.96535433070866139</v>
      </c>
      <c r="DF103" s="32">
        <v>0.95634129118568634</v>
      </c>
      <c r="DG103" s="32">
        <v>0.95819935691318325</v>
      </c>
      <c r="DH103" s="32">
        <v>0.92946708463949845</v>
      </c>
      <c r="DI103" s="32">
        <v>0.9437299035369775</v>
      </c>
      <c r="DJ103" s="32">
        <v>0.9662379421221865</v>
      </c>
      <c r="DK103" s="32">
        <v>0.98417721518987344</v>
      </c>
      <c r="DL103" s="32">
        <v>0.95748031496062991</v>
      </c>
      <c r="DM103" s="32">
        <v>0.97784810126582278</v>
      </c>
      <c r="DN103" s="32">
        <v>0.95959141694688177</v>
      </c>
      <c r="DO103" s="32">
        <v>0.91759112519809827</v>
      </c>
      <c r="DP103" s="32">
        <v>0.94303797468354433</v>
      </c>
      <c r="DQ103" s="32">
        <v>0.92479999999999996</v>
      </c>
      <c r="DR103" s="32">
        <v>0.93729903536977488</v>
      </c>
      <c r="DS103" s="32">
        <v>0.95094936708860756</v>
      </c>
      <c r="DT103" s="32">
        <v>0.96069182389937102</v>
      </c>
      <c r="DU103" s="32">
        <v>0.95597484276729561</v>
      </c>
      <c r="DV103" s="32">
        <v>0.94147773842952742</v>
      </c>
      <c r="DW103" s="32">
        <v>0.9268680445151033</v>
      </c>
      <c r="DX103" s="32">
        <v>0.93670886075949367</v>
      </c>
      <c r="DY103" s="32">
        <v>0.9373996789727127</v>
      </c>
      <c r="DZ103" s="32">
        <v>0.93558776167471824</v>
      </c>
      <c r="EA103" s="32">
        <v>0.92879746835443033</v>
      </c>
      <c r="EB103" s="32">
        <v>0.944620253164557</v>
      </c>
      <c r="EC103" s="32">
        <v>0.930379746835443</v>
      </c>
      <c r="ED103" s="32">
        <v>0.93433740203949411</v>
      </c>
      <c r="EE103" s="32">
        <v>0.91111111111111109</v>
      </c>
      <c r="EF103" s="32">
        <v>0.95118110236220477</v>
      </c>
      <c r="EG103" s="32">
        <v>0.93108974358974361</v>
      </c>
      <c r="EH103" s="32">
        <v>0.94212218649517687</v>
      </c>
      <c r="EI103" s="32">
        <v>0.94006309148264988</v>
      </c>
      <c r="EJ103" s="32">
        <v>0.95418641390205372</v>
      </c>
      <c r="EK103" s="32">
        <v>0.94173228346456694</v>
      </c>
      <c r="EL103" s="32">
        <v>0.93878370462964378</v>
      </c>
    </row>
    <row r="104" spans="38:142" x14ac:dyDescent="0.25">
      <c r="AL104" s="19" t="s">
        <v>154</v>
      </c>
      <c r="AM104" s="32">
        <v>0.96894409937888204</v>
      </c>
      <c r="AN104" s="32">
        <v>0.98200899550224885</v>
      </c>
      <c r="AO104" s="32">
        <v>0.97384615384615381</v>
      </c>
      <c r="AP104" s="32">
        <v>0.98353293413173648</v>
      </c>
      <c r="AQ104" s="32">
        <v>0.97094801223241589</v>
      </c>
      <c r="AR104" s="32">
        <v>0.98505231689088191</v>
      </c>
      <c r="AS104" s="32">
        <v>0.98800599700149927</v>
      </c>
      <c r="AT104" s="32">
        <v>0.9789055012834027</v>
      </c>
      <c r="AU104" s="32">
        <v>0.9892966360856269</v>
      </c>
      <c r="AV104" s="32">
        <v>0.98500749625187412</v>
      </c>
      <c r="AW104" s="32">
        <v>0.99848942598187307</v>
      </c>
      <c r="AX104" s="32">
        <v>0.99100449775112442</v>
      </c>
      <c r="AY104" s="32">
        <v>0.98804185351270557</v>
      </c>
      <c r="AZ104" s="32">
        <v>0.98065476190476186</v>
      </c>
      <c r="BA104" s="32">
        <v>0.97747747747747749</v>
      </c>
      <c r="BB104" s="32">
        <v>0.98713887842363479</v>
      </c>
      <c r="BC104" s="32">
        <v>0.97040498442367606</v>
      </c>
      <c r="BD104" s="32">
        <v>0.99700149925037485</v>
      </c>
      <c r="BE104" s="32">
        <v>0.98291925465838514</v>
      </c>
      <c r="BF104" s="32">
        <v>0.98286604361370722</v>
      </c>
      <c r="BG104" s="32">
        <v>0.97897897897897901</v>
      </c>
      <c r="BH104" s="32">
        <v>0.99850968703427723</v>
      </c>
      <c r="BI104" s="32">
        <v>0.99242424242424243</v>
      </c>
      <c r="BJ104" s="32">
        <v>0.98615781291194882</v>
      </c>
      <c r="BK104" s="32">
        <v>0.96463022508038587</v>
      </c>
      <c r="BL104" s="32">
        <v>0.96244131455399062</v>
      </c>
      <c r="BM104" s="32">
        <v>0.98888888888888893</v>
      </c>
      <c r="BN104" s="32">
        <v>0.984375</v>
      </c>
      <c r="BO104" s="32">
        <v>0.96247960848287117</v>
      </c>
      <c r="BP104" s="32">
        <v>0.875</v>
      </c>
      <c r="BQ104" s="32">
        <v>0.90264026402640263</v>
      </c>
      <c r="BR104" s="32">
        <v>0.94863647157607711</v>
      </c>
      <c r="BS104" s="32">
        <v>0.98948948948948945</v>
      </c>
      <c r="BT104" s="32">
        <v>0.98179059180576633</v>
      </c>
      <c r="BU104" s="32">
        <v>0.99242424242424243</v>
      </c>
      <c r="BV104" s="32">
        <v>0.992503748125937</v>
      </c>
      <c r="BW104" s="32">
        <v>0.99099099099099097</v>
      </c>
      <c r="BX104" s="32">
        <v>0.98156682027649766</v>
      </c>
      <c r="BY104" s="32">
        <v>0.9892966360856269</v>
      </c>
      <c r="BZ104" s="32">
        <v>0.98829464559979308</v>
      </c>
      <c r="CA104" s="32">
        <v>0.98652694610778446</v>
      </c>
      <c r="CB104" s="32">
        <v>0.98791540785498488</v>
      </c>
      <c r="CC104" s="32">
        <v>0.9909228441754917</v>
      </c>
      <c r="CD104" s="32">
        <v>0.99554896142433236</v>
      </c>
      <c r="CE104" s="32">
        <v>0.97771173848439819</v>
      </c>
      <c r="CF104" s="32">
        <v>0.9910714285714286</v>
      </c>
      <c r="CG104" s="32">
        <v>0.97626112759643913</v>
      </c>
      <c r="CH104" s="32">
        <v>0.9865654934592657</v>
      </c>
      <c r="CI104" s="32">
        <v>0.99708454810495628</v>
      </c>
      <c r="CJ104" s="32">
        <v>0.98950524737631185</v>
      </c>
      <c r="CK104" s="32">
        <v>0.98985507246376814</v>
      </c>
      <c r="CL104" s="32">
        <v>0.99857346647646217</v>
      </c>
      <c r="CM104" s="32">
        <v>1</v>
      </c>
      <c r="CN104" s="32">
        <v>0.98945783132530118</v>
      </c>
      <c r="CO104" s="32">
        <v>0.992503748125937</v>
      </c>
      <c r="CP104" s="32">
        <v>0.9938542734103909</v>
      </c>
      <c r="CQ104" s="32">
        <v>0.96217851739788196</v>
      </c>
      <c r="CR104" s="32">
        <v>0.99855907780979825</v>
      </c>
      <c r="CS104" s="32">
        <v>0.97754491017964074</v>
      </c>
      <c r="CT104" s="32">
        <v>0.99131693198263382</v>
      </c>
      <c r="CU104" s="32">
        <v>0.99410898379970547</v>
      </c>
      <c r="CV104" s="32">
        <v>0.99270072992700731</v>
      </c>
      <c r="CW104" s="32">
        <v>0.97928994082840237</v>
      </c>
      <c r="CX104" s="32">
        <v>0.98509987027500989</v>
      </c>
      <c r="CY104" s="32">
        <v>0.97841726618705038</v>
      </c>
      <c r="CZ104" s="32">
        <v>0.9900142653352354</v>
      </c>
      <c r="DA104" s="32">
        <v>0.97360703812316718</v>
      </c>
      <c r="DB104" s="32">
        <v>0.99275362318840576</v>
      </c>
      <c r="DC104" s="32">
        <v>0.98857142857142855</v>
      </c>
      <c r="DD104" s="32">
        <v>0.98121387283236994</v>
      </c>
      <c r="DE104" s="32">
        <v>0.98701298701298701</v>
      </c>
      <c r="DF104" s="32">
        <v>0.98451292589294914</v>
      </c>
      <c r="DG104" s="32">
        <v>0.98680351906158359</v>
      </c>
      <c r="DH104" s="32">
        <v>0.98853868194842409</v>
      </c>
      <c r="DI104" s="32">
        <v>0.99121522693997077</v>
      </c>
      <c r="DJ104" s="32">
        <v>0.99120234604105573</v>
      </c>
      <c r="DK104" s="32">
        <v>0.99567723342939485</v>
      </c>
      <c r="DL104" s="32">
        <v>0.98581560283687941</v>
      </c>
      <c r="DM104" s="32">
        <v>0.9871060171919771</v>
      </c>
      <c r="DN104" s="32">
        <v>0.98947980392132651</v>
      </c>
      <c r="DO104" s="32">
        <v>0.9835820895522388</v>
      </c>
      <c r="DP104" s="32">
        <v>0.9838709677419355</v>
      </c>
      <c r="DQ104" s="32">
        <v>0.99408284023668636</v>
      </c>
      <c r="DR104" s="32">
        <v>0.99419448476052252</v>
      </c>
      <c r="DS104" s="32">
        <v>0.9823269513991163</v>
      </c>
      <c r="DT104" s="32">
        <v>0.98982558139534882</v>
      </c>
      <c r="DU104" s="32">
        <v>0.97664233576642334</v>
      </c>
      <c r="DV104" s="32">
        <v>0.98636075012175317</v>
      </c>
      <c r="DW104" s="32">
        <v>0.97142857142857142</v>
      </c>
      <c r="DX104" s="32">
        <v>0.99437412095639943</v>
      </c>
      <c r="DY104" s="32">
        <v>0.98350824587706143</v>
      </c>
      <c r="DZ104" s="32">
        <v>1</v>
      </c>
      <c r="EA104" s="32">
        <v>0.99277456647398843</v>
      </c>
      <c r="EB104" s="32">
        <v>0.9985693848354793</v>
      </c>
      <c r="EC104" s="32">
        <v>0.98994252873563215</v>
      </c>
      <c r="ED104" s="32">
        <v>0.99008534547244742</v>
      </c>
      <c r="EE104" s="32">
        <v>0.9793205317577548</v>
      </c>
      <c r="EF104" s="32">
        <v>0.99857142857142855</v>
      </c>
      <c r="EG104" s="32">
        <v>0.98240469208211145</v>
      </c>
      <c r="EH104" s="32">
        <v>0.98542274052478129</v>
      </c>
      <c r="EI104" s="32">
        <v>0.9900142653352354</v>
      </c>
      <c r="EJ104" s="32">
        <v>1</v>
      </c>
      <c r="EK104" s="32">
        <v>1</v>
      </c>
      <c r="EL104" s="32">
        <v>0.99081909403875879</v>
      </c>
    </row>
    <row r="105" spans="38:142" x14ac:dyDescent="0.25">
      <c r="AL105" s="19" t="s">
        <v>155</v>
      </c>
      <c r="AM105" s="32">
        <v>0.96279069767441861</v>
      </c>
      <c r="AN105" s="32">
        <v>0.98620689655172411</v>
      </c>
      <c r="AO105" s="32">
        <v>0.97247706422018354</v>
      </c>
      <c r="AP105" s="32">
        <v>0.963963963963964</v>
      </c>
      <c r="AQ105" s="32">
        <v>0.95423340961098402</v>
      </c>
      <c r="AR105" s="32">
        <v>0.98185941043083902</v>
      </c>
      <c r="AS105" s="32">
        <v>0.99319727891156462</v>
      </c>
      <c r="AT105" s="32">
        <v>0.97353267448052538</v>
      </c>
      <c r="AU105" s="32">
        <v>0.94988610478359914</v>
      </c>
      <c r="AV105" s="32">
        <v>0.99327354260089684</v>
      </c>
      <c r="AW105" s="32">
        <v>0.97222222222222221</v>
      </c>
      <c r="AX105" s="32">
        <v>0.97511312217194568</v>
      </c>
      <c r="AY105" s="32">
        <v>0.96380090497737558</v>
      </c>
      <c r="AZ105" s="32">
        <v>0.99103139013452912</v>
      </c>
      <c r="BA105" s="32">
        <v>0.98412698412698407</v>
      </c>
      <c r="BB105" s="32">
        <v>0.97563632443107906</v>
      </c>
      <c r="BC105" s="32">
        <v>0.93488372093023253</v>
      </c>
      <c r="BD105" s="32">
        <v>0.97940503432494275</v>
      </c>
      <c r="BE105" s="32">
        <v>0.93720930232558142</v>
      </c>
      <c r="BF105" s="32">
        <v>0.97441860465116281</v>
      </c>
      <c r="BG105" s="32">
        <v>0.97945205479452058</v>
      </c>
      <c r="BH105" s="32">
        <v>0.97940503432494275</v>
      </c>
      <c r="BI105" s="32">
        <v>0.97499999999999998</v>
      </c>
      <c r="BJ105" s="32">
        <v>0.96568196447876908</v>
      </c>
      <c r="BK105" s="32">
        <v>0.90697674418604646</v>
      </c>
      <c r="BL105" s="32">
        <v>0.96046511627906972</v>
      </c>
      <c r="BM105" s="32">
        <v>0.95348837209302328</v>
      </c>
      <c r="BN105" s="32">
        <v>0.97940503432494275</v>
      </c>
      <c r="BO105" s="32">
        <v>0.88604651162790693</v>
      </c>
      <c r="BP105" s="32">
        <v>0.7930232558139535</v>
      </c>
      <c r="BQ105" s="32">
        <v>0.81860465116279069</v>
      </c>
      <c r="BR105" s="32">
        <v>0.89971566935539038</v>
      </c>
      <c r="BS105" s="32">
        <v>0.94651162790697674</v>
      </c>
      <c r="BT105" s="32">
        <v>0.98416289592760176</v>
      </c>
      <c r="BU105" s="32">
        <v>0.98847926267281105</v>
      </c>
      <c r="BV105" s="32">
        <v>0.99548532731376971</v>
      </c>
      <c r="BW105" s="32">
        <v>0.92807424593967514</v>
      </c>
      <c r="BX105" s="32">
        <v>0.9517241379310345</v>
      </c>
      <c r="BY105" s="32">
        <v>0.98657718120805371</v>
      </c>
      <c r="BZ105" s="32">
        <v>0.96871638269998883</v>
      </c>
      <c r="CA105" s="32">
        <v>0.954337899543379</v>
      </c>
      <c r="CB105" s="32">
        <v>9.8214285714285712E-2</v>
      </c>
      <c r="CC105" s="32">
        <v>0.96590909090909094</v>
      </c>
      <c r="CD105" s="32">
        <v>0.98423423423423428</v>
      </c>
      <c r="CE105" s="32">
        <v>0.98181818181818181</v>
      </c>
      <c r="CF105" s="32">
        <v>0.97516930022573367</v>
      </c>
      <c r="CG105" s="32">
        <v>0.97722095671981779</v>
      </c>
      <c r="CH105" s="32">
        <v>0.84812913559496039</v>
      </c>
      <c r="CI105" s="32">
        <v>0.97511312217194568</v>
      </c>
      <c r="CJ105" s="32">
        <v>0.98645598194130923</v>
      </c>
      <c r="CK105" s="32">
        <v>0.98871331828442433</v>
      </c>
      <c r="CL105" s="32">
        <v>0.99327354260089684</v>
      </c>
      <c r="CM105" s="32">
        <v>0.9888392857142857</v>
      </c>
      <c r="CN105" s="32">
        <v>0.98198198198198194</v>
      </c>
      <c r="CO105" s="32">
        <v>0.99328859060402686</v>
      </c>
      <c r="CP105" s="32">
        <v>0.98680940332841005</v>
      </c>
      <c r="CQ105" s="32">
        <v>0.95280898876404496</v>
      </c>
      <c r="CR105" s="32">
        <v>0.99105145413870244</v>
      </c>
      <c r="CS105" s="32">
        <v>0.95475113122171951</v>
      </c>
      <c r="CT105" s="32">
        <v>0.98426966292134832</v>
      </c>
      <c r="CU105" s="32">
        <v>0.99777282850779514</v>
      </c>
      <c r="CV105" s="32">
        <v>0.98008849557522126</v>
      </c>
      <c r="CW105" s="32">
        <v>0.99334811529933487</v>
      </c>
      <c r="CX105" s="32">
        <v>0.9791558109183095</v>
      </c>
      <c r="CY105" s="32">
        <v>0.984375</v>
      </c>
      <c r="CZ105" s="32">
        <v>0.99101123595505614</v>
      </c>
      <c r="DA105" s="32">
        <v>0.99103139013452912</v>
      </c>
      <c r="DB105" s="32">
        <v>0.98447893569844791</v>
      </c>
      <c r="DC105" s="32">
        <v>1</v>
      </c>
      <c r="DD105" s="32">
        <v>0.9888392857142857</v>
      </c>
      <c r="DE105" s="32">
        <v>1</v>
      </c>
      <c r="DF105" s="32">
        <v>0.99139083535747408</v>
      </c>
      <c r="DG105" s="32">
        <v>0.96853932584269664</v>
      </c>
      <c r="DH105" s="32">
        <v>0.98210290827740487</v>
      </c>
      <c r="DI105" s="32">
        <v>0.95927601809954754</v>
      </c>
      <c r="DJ105" s="32">
        <v>0.984375</v>
      </c>
      <c r="DK105" s="32">
        <v>0.99105145413870244</v>
      </c>
      <c r="DL105" s="32">
        <v>0.98423423423423428</v>
      </c>
      <c r="DM105" s="32">
        <v>0.98663697104677062</v>
      </c>
      <c r="DN105" s="32">
        <v>0.97945941594847952</v>
      </c>
      <c r="DO105" s="32">
        <v>0.93518518518518523</v>
      </c>
      <c r="DP105" s="32">
        <v>0.99322799097065462</v>
      </c>
      <c r="DQ105" s="32">
        <v>0.95890410958904104</v>
      </c>
      <c r="DR105" s="32">
        <v>0.99318181818181817</v>
      </c>
      <c r="DS105" s="32">
        <v>0.9910714285714286</v>
      </c>
      <c r="DT105" s="32">
        <v>0.9773755656108597</v>
      </c>
      <c r="DU105" s="32">
        <v>0.9888392857142857</v>
      </c>
      <c r="DV105" s="32">
        <v>0.97682648340332467</v>
      </c>
      <c r="DW105" s="32">
        <v>0.95248868778280538</v>
      </c>
      <c r="DX105" s="32">
        <v>0.99546485260770978</v>
      </c>
      <c r="DY105" s="32">
        <v>0.95890410958904104</v>
      </c>
      <c r="DZ105" s="32">
        <v>0.9886877828054299</v>
      </c>
      <c r="EA105" s="32">
        <v>0.97511312217194568</v>
      </c>
      <c r="EB105" s="32">
        <v>0.98648648648648651</v>
      </c>
      <c r="EC105" s="32">
        <v>0.97959183673469385</v>
      </c>
      <c r="ED105" s="32">
        <v>0.97667669688258751</v>
      </c>
      <c r="EE105" s="32">
        <v>0.92325581395348832</v>
      </c>
      <c r="EF105" s="32">
        <v>0.9660633484162896</v>
      </c>
      <c r="EG105" s="32">
        <v>0.93409090909090908</v>
      </c>
      <c r="EH105" s="32">
        <v>0.96153846153846156</v>
      </c>
      <c r="EI105" s="32">
        <v>0.93932584269662922</v>
      </c>
      <c r="EJ105" s="32">
        <v>0.97940503432494275</v>
      </c>
      <c r="EK105" s="32">
        <v>0.95936794582392781</v>
      </c>
      <c r="EL105" s="32">
        <v>0.95186390797780696</v>
      </c>
    </row>
    <row r="106" spans="38:142" x14ac:dyDescent="0.25">
      <c r="AL106" s="19" t="s">
        <v>156</v>
      </c>
      <c r="AM106" s="32">
        <v>0.90630323679727431</v>
      </c>
      <c r="AN106" s="32">
        <v>0.92055267702936094</v>
      </c>
      <c r="AO106" s="32">
        <v>0.90476190476190477</v>
      </c>
      <c r="AP106" s="32">
        <v>0.95068027210884354</v>
      </c>
      <c r="AQ106" s="32">
        <v>0.91609589041095896</v>
      </c>
      <c r="AR106" s="32">
        <v>0.93264248704663211</v>
      </c>
      <c r="AS106" s="32">
        <v>0.88698630136986301</v>
      </c>
      <c r="AT106" s="32">
        <v>0.91686039564640531</v>
      </c>
      <c r="AU106" s="32">
        <v>0.89932885906040272</v>
      </c>
      <c r="AV106" s="32">
        <v>0.95462184873949585</v>
      </c>
      <c r="AW106" s="32">
        <v>0.8962585034013606</v>
      </c>
      <c r="AX106" s="32">
        <v>0.95278246205733563</v>
      </c>
      <c r="AY106" s="32">
        <v>0.92821368948247074</v>
      </c>
      <c r="AZ106" s="32">
        <v>0.93581081081081086</v>
      </c>
      <c r="BA106" s="32">
        <v>0.9670510708401977</v>
      </c>
      <c r="BB106" s="32">
        <v>0.93343817777029614</v>
      </c>
      <c r="BC106" s="32">
        <v>0.87219343696027629</v>
      </c>
      <c r="BD106" s="32">
        <v>0.94029850746268662</v>
      </c>
      <c r="BE106" s="32">
        <v>0.86701208981001732</v>
      </c>
      <c r="BF106" s="32">
        <v>0.92068965517241375</v>
      </c>
      <c r="BG106" s="32">
        <v>0.92748735244519398</v>
      </c>
      <c r="BH106" s="32">
        <v>0.94029850746268662</v>
      </c>
      <c r="BI106" s="32">
        <v>0.93791946308724827</v>
      </c>
      <c r="BJ106" s="32">
        <v>0.9151284303429319</v>
      </c>
      <c r="BK106" s="32">
        <v>0.85319516407599305</v>
      </c>
      <c r="BL106" s="32">
        <v>0.88620689655172413</v>
      </c>
      <c r="BM106" s="32">
        <v>0.91141396933560481</v>
      </c>
      <c r="BN106" s="32">
        <v>0.93591905564924116</v>
      </c>
      <c r="BO106" s="32">
        <v>0.83217993079584773</v>
      </c>
      <c r="BP106" s="32">
        <v>0.73183391003460208</v>
      </c>
      <c r="BQ106" s="32">
        <v>0.76470588235294112</v>
      </c>
      <c r="BR106" s="32">
        <v>0.84506497268513614</v>
      </c>
      <c r="BS106" s="32">
        <v>0.96375617792421742</v>
      </c>
      <c r="BT106" s="32">
        <v>0.95415959252971139</v>
      </c>
      <c r="BU106" s="32">
        <v>0.95477386934673369</v>
      </c>
      <c r="BV106" s="32">
        <v>0.96988906497622818</v>
      </c>
      <c r="BW106" s="32">
        <v>0.96339434276206326</v>
      </c>
      <c r="BX106" s="32">
        <v>0.89948892674616698</v>
      </c>
      <c r="BY106" s="32">
        <v>0.93728813559322033</v>
      </c>
      <c r="BZ106" s="32">
        <v>0.94896430141119148</v>
      </c>
      <c r="CA106" s="32">
        <v>0.91107382550335569</v>
      </c>
      <c r="CB106" s="32">
        <v>0.96031746031746035</v>
      </c>
      <c r="CC106" s="32">
        <v>0.91792294807370189</v>
      </c>
      <c r="CD106" s="32">
        <v>0.94069192751235586</v>
      </c>
      <c r="CE106" s="32">
        <v>0.93853820598006643</v>
      </c>
      <c r="CF106" s="32">
        <v>0.96737357259380097</v>
      </c>
      <c r="CG106" s="32">
        <v>0.95723684210526316</v>
      </c>
      <c r="CH106" s="32">
        <v>0.94187925458371502</v>
      </c>
      <c r="CI106" s="32">
        <v>0.90166666666666662</v>
      </c>
      <c r="CJ106" s="32">
        <v>0.94281045751633985</v>
      </c>
      <c r="CK106" s="32">
        <v>0.89900662251655628</v>
      </c>
      <c r="CL106" s="32">
        <v>0.92384105960264906</v>
      </c>
      <c r="CM106" s="32">
        <v>0.93080724876441512</v>
      </c>
      <c r="CN106" s="32">
        <v>0.96097560975609753</v>
      </c>
      <c r="CO106" s="32">
        <v>0.92798690671031092</v>
      </c>
      <c r="CP106" s="32">
        <v>0.9267277959332908</v>
      </c>
      <c r="CQ106" s="32">
        <v>0.92964824120603018</v>
      </c>
      <c r="CR106" s="32">
        <v>0.93944353518821599</v>
      </c>
      <c r="CS106" s="32">
        <v>0.91900826446280992</v>
      </c>
      <c r="CT106" s="32">
        <v>0.93388429752066116</v>
      </c>
      <c r="CU106" s="32">
        <v>0.91092436974789914</v>
      </c>
      <c r="CV106" s="32">
        <v>0.90671031096563015</v>
      </c>
      <c r="CW106" s="32">
        <v>0.89614740368509216</v>
      </c>
      <c r="CX106" s="32">
        <v>0.91939520325376267</v>
      </c>
      <c r="CY106" s="32">
        <v>0.93245469522240532</v>
      </c>
      <c r="CZ106" s="32">
        <v>0.94884488448844884</v>
      </c>
      <c r="DA106" s="32">
        <v>0.88688524590163931</v>
      </c>
      <c r="DB106" s="32">
        <v>0.92258064516129035</v>
      </c>
      <c r="DC106" s="32">
        <v>0.95253682487725044</v>
      </c>
      <c r="DD106" s="32">
        <v>0.92508143322475567</v>
      </c>
      <c r="DE106" s="32">
        <v>0.96387520525451564</v>
      </c>
      <c r="DF106" s="32">
        <v>0.93317984773290086</v>
      </c>
      <c r="DG106" s="32">
        <v>0.84899328859060408</v>
      </c>
      <c r="DH106" s="32">
        <v>0.95645161290322578</v>
      </c>
      <c r="DI106" s="32">
        <v>0.84731543624161076</v>
      </c>
      <c r="DJ106" s="32">
        <v>0.88087248322147649</v>
      </c>
      <c r="DK106" s="32">
        <v>0.86287625418060199</v>
      </c>
      <c r="DL106" s="32">
        <v>0.90894039735099341</v>
      </c>
      <c r="DM106" s="32">
        <v>0.90199335548172754</v>
      </c>
      <c r="DN106" s="32">
        <v>0.88677754685289145</v>
      </c>
      <c r="DO106" s="32">
        <v>0.82402707275803722</v>
      </c>
      <c r="DP106" s="32">
        <v>0.91047297297297303</v>
      </c>
      <c r="DQ106" s="32">
        <v>0.8232323232323232</v>
      </c>
      <c r="DR106" s="32">
        <v>0.89393939393939392</v>
      </c>
      <c r="DS106" s="32">
        <v>0.84602368866328259</v>
      </c>
      <c r="DT106" s="32">
        <v>0.89527027027027029</v>
      </c>
      <c r="DU106" s="32">
        <v>0.875</v>
      </c>
      <c r="DV106" s="32">
        <v>0.86685224597661137</v>
      </c>
      <c r="DW106" s="32">
        <v>0.84576271186440677</v>
      </c>
      <c r="DX106" s="32">
        <v>0.91225165562913912</v>
      </c>
      <c r="DY106" s="32">
        <v>0.87140439932318103</v>
      </c>
      <c r="DZ106" s="32">
        <v>0.87354409317803661</v>
      </c>
      <c r="EA106" s="32">
        <v>0.89949748743718594</v>
      </c>
      <c r="EB106" s="32">
        <v>0.9170812603648425</v>
      </c>
      <c r="EC106" s="32">
        <v>0.89569536423841056</v>
      </c>
      <c r="ED106" s="32">
        <v>0.88789099600502897</v>
      </c>
      <c r="EE106" s="32">
        <v>0.83642495784148396</v>
      </c>
      <c r="EF106" s="32">
        <v>0.8872305140961857</v>
      </c>
      <c r="EG106" s="32">
        <v>0.85135135135135132</v>
      </c>
      <c r="EH106" s="32">
        <v>0.89816360601001666</v>
      </c>
      <c r="EI106" s="32">
        <v>0.8930390492359932</v>
      </c>
      <c r="EJ106" s="32">
        <v>0.88833333333333331</v>
      </c>
      <c r="EK106" s="32">
        <v>0.875</v>
      </c>
      <c r="EL106" s="32">
        <v>0.8756489731240521</v>
      </c>
    </row>
    <row r="107" spans="38:142" x14ac:dyDescent="0.25">
      <c r="AL107" s="19" t="s">
        <v>157</v>
      </c>
      <c r="AM107" s="32">
        <v>0.94009216589861755</v>
      </c>
      <c r="AN107" s="32">
        <v>0.93384615384615388</v>
      </c>
      <c r="AO107" s="32">
        <v>0.92473118279569888</v>
      </c>
      <c r="AP107" s="32">
        <v>0.9447004608294931</v>
      </c>
      <c r="AQ107" s="32">
        <v>0.91551459293394777</v>
      </c>
      <c r="AR107" s="32">
        <v>0.91090629800307221</v>
      </c>
      <c r="AS107" s="32">
        <v>0.92933947772657455</v>
      </c>
      <c r="AT107" s="32">
        <v>0.92844719029050826</v>
      </c>
      <c r="AU107" s="32">
        <v>0.9061538461538462</v>
      </c>
      <c r="AV107" s="32">
        <v>0.95238095238095233</v>
      </c>
      <c r="AW107" s="32">
        <v>0.90168970814132099</v>
      </c>
      <c r="AX107" s="32">
        <v>0.93076923076923079</v>
      </c>
      <c r="AY107" s="32">
        <v>0.94009216589861755</v>
      </c>
      <c r="AZ107" s="32">
        <v>0.94316436251920122</v>
      </c>
      <c r="BA107" s="32">
        <v>0.95391705069124422</v>
      </c>
      <c r="BB107" s="32">
        <v>0.93259533093634484</v>
      </c>
      <c r="BC107" s="32">
        <v>0.93855606758832566</v>
      </c>
      <c r="BD107" s="32">
        <v>0.94162826420890933</v>
      </c>
      <c r="BE107" s="32">
        <v>0.92626728110599077</v>
      </c>
      <c r="BF107" s="32">
        <v>0.91858678955453144</v>
      </c>
      <c r="BG107" s="32">
        <v>0.9231950844854071</v>
      </c>
      <c r="BH107" s="32">
        <v>0.93836671802773497</v>
      </c>
      <c r="BI107" s="32">
        <v>0.93865030674846628</v>
      </c>
      <c r="BJ107" s="32">
        <v>0.93217864453133803</v>
      </c>
      <c r="BK107" s="32">
        <v>0.91090629800307221</v>
      </c>
      <c r="BL107" s="32">
        <v>0.9276923076923077</v>
      </c>
      <c r="BM107" s="32">
        <v>0.92615384615384611</v>
      </c>
      <c r="BN107" s="32">
        <v>0.9124423963133641</v>
      </c>
      <c r="BO107" s="32">
        <v>0.91090629800307221</v>
      </c>
      <c r="BP107" s="32">
        <v>0.80952380952380953</v>
      </c>
      <c r="BQ107" s="32">
        <v>0.84178187403993854</v>
      </c>
      <c r="BR107" s="32">
        <v>0.89134383281848717</v>
      </c>
      <c r="BS107" s="32">
        <v>0.92626728110599077</v>
      </c>
      <c r="BT107" s="32">
        <v>0.956989247311828</v>
      </c>
      <c r="BU107" s="32">
        <v>0.91397849462365588</v>
      </c>
      <c r="BV107" s="32">
        <v>0.94009216589861755</v>
      </c>
      <c r="BW107" s="32">
        <v>0.956989247311828</v>
      </c>
      <c r="BX107" s="32">
        <v>0.95084485407066055</v>
      </c>
      <c r="BY107" s="32">
        <v>0.9447004608294931</v>
      </c>
      <c r="BZ107" s="32">
        <v>0.94140882159315342</v>
      </c>
      <c r="CA107" s="32">
        <v>0.92758089368258856</v>
      </c>
      <c r="CB107" s="32">
        <v>0.95076923076923081</v>
      </c>
      <c r="CC107" s="32">
        <v>0.92758089368258856</v>
      </c>
      <c r="CD107" s="32">
        <v>0.93066255778120188</v>
      </c>
      <c r="CE107" s="32">
        <v>0.9337442218798151</v>
      </c>
      <c r="CF107" s="32">
        <v>0.93701996927803377</v>
      </c>
      <c r="CG107" s="32">
        <v>0.93076923076923079</v>
      </c>
      <c r="CH107" s="32">
        <v>0.93401814254895565</v>
      </c>
      <c r="CI107" s="32">
        <v>0.93343653250773995</v>
      </c>
      <c r="CJ107" s="32">
        <v>0.95238095238095233</v>
      </c>
      <c r="CK107" s="32">
        <v>0.9272445820433437</v>
      </c>
      <c r="CL107" s="32">
        <v>0.91795665634674928</v>
      </c>
      <c r="CM107" s="32">
        <v>0.93343653250773995</v>
      </c>
      <c r="CN107" s="32">
        <v>0.92626728110599077</v>
      </c>
      <c r="CO107" s="32">
        <v>0.96749226006191946</v>
      </c>
      <c r="CP107" s="32">
        <v>0.93688782813634808</v>
      </c>
      <c r="CQ107" s="32">
        <v>0.91090629800307221</v>
      </c>
      <c r="CR107" s="32">
        <v>0.94427244582043346</v>
      </c>
      <c r="CS107" s="32">
        <v>0.89247311827956988</v>
      </c>
      <c r="CT107" s="32">
        <v>0.89708141321044543</v>
      </c>
      <c r="CU107" s="32">
        <v>0.94478527607361962</v>
      </c>
      <c r="CV107" s="32">
        <v>0.92484662576687116</v>
      </c>
      <c r="CW107" s="32">
        <v>0.93404907975460127</v>
      </c>
      <c r="CX107" s="32">
        <v>0.92120203670123046</v>
      </c>
      <c r="CY107" s="32">
        <v>0.89861751152073732</v>
      </c>
      <c r="CZ107" s="32">
        <v>0.96535433070866139</v>
      </c>
      <c r="DA107" s="32">
        <v>0.91564417177914115</v>
      </c>
      <c r="DB107" s="32">
        <v>0.91411042944785281</v>
      </c>
      <c r="DC107" s="32">
        <v>0.94325153374233128</v>
      </c>
      <c r="DD107" s="32">
        <v>0.96850393700787396</v>
      </c>
      <c r="DE107" s="32">
        <v>0.95905511811023625</v>
      </c>
      <c r="DF107" s="32">
        <v>0.93779100461669063</v>
      </c>
      <c r="DG107" s="32">
        <v>0.93865030674846628</v>
      </c>
      <c r="DH107" s="32">
        <v>0.97165354330708664</v>
      </c>
      <c r="DI107" s="32">
        <v>0.91717791411042948</v>
      </c>
      <c r="DJ107" s="32">
        <v>0.93711656441717794</v>
      </c>
      <c r="DK107" s="32">
        <v>0.96313364055299544</v>
      </c>
      <c r="DL107" s="32">
        <v>0.97637795275590555</v>
      </c>
      <c r="DM107" s="32">
        <v>0.97952755905511812</v>
      </c>
      <c r="DN107" s="32">
        <v>0.95480535442102565</v>
      </c>
      <c r="DO107" s="32">
        <v>0.91338582677165359</v>
      </c>
      <c r="DP107" s="32">
        <v>0.971830985915493</v>
      </c>
      <c r="DQ107" s="32">
        <v>0.91338582677165359</v>
      </c>
      <c r="DR107" s="32">
        <v>0.91496062992125982</v>
      </c>
      <c r="DS107" s="32">
        <v>0.9401574803149606</v>
      </c>
      <c r="DT107" s="32">
        <v>0.97480314960629921</v>
      </c>
      <c r="DU107" s="32">
        <v>0.95905511811023625</v>
      </c>
      <c r="DV107" s="32">
        <v>0.94108271677307942</v>
      </c>
      <c r="DW107" s="32">
        <v>0.93385826771653546</v>
      </c>
      <c r="DX107" s="32">
        <v>0.952755905511811</v>
      </c>
      <c r="DY107" s="32">
        <v>0.9401574803149606</v>
      </c>
      <c r="DZ107" s="32">
        <v>0.952755905511811</v>
      </c>
      <c r="EA107" s="32">
        <v>0.97165354330708664</v>
      </c>
      <c r="EB107" s="32">
        <v>0.94173228346456694</v>
      </c>
      <c r="EC107" s="32">
        <v>0.96850393700787396</v>
      </c>
      <c r="ED107" s="32">
        <v>0.95163104611923521</v>
      </c>
      <c r="EE107" s="32">
        <v>0.97480314960629921</v>
      </c>
      <c r="EF107" s="32">
        <v>0.99055118110236218</v>
      </c>
      <c r="EG107" s="32">
        <v>0.96535433070866139</v>
      </c>
      <c r="EH107" s="32">
        <v>0.96692913385826773</v>
      </c>
      <c r="EI107" s="32">
        <v>0.96850393700787396</v>
      </c>
      <c r="EJ107" s="32">
        <v>0.96220472440944882</v>
      </c>
      <c r="EK107" s="32">
        <v>0.98425196850393704</v>
      </c>
      <c r="EL107" s="32">
        <v>0.97322834645669298</v>
      </c>
    </row>
    <row r="108" spans="38:142" x14ac:dyDescent="0.25">
      <c r="AL108" s="19" t="s">
        <v>158</v>
      </c>
      <c r="AM108" s="32">
        <v>0.96621621621621623</v>
      </c>
      <c r="AN108" s="32">
        <v>0.9859154929577465</v>
      </c>
      <c r="AO108" s="32">
        <v>0.98423423423423428</v>
      </c>
      <c r="AP108" s="32">
        <v>0.94379391100702581</v>
      </c>
      <c r="AQ108" s="32">
        <v>0.99775280898876406</v>
      </c>
      <c r="AR108" s="32">
        <v>0.92957746478873238</v>
      </c>
      <c r="AS108" s="32">
        <v>0.98202247191011238</v>
      </c>
      <c r="AT108" s="32">
        <v>0.96993037144326166</v>
      </c>
      <c r="AU108" s="32">
        <v>0.95704057279236276</v>
      </c>
      <c r="AV108" s="32">
        <v>0.99284009546539376</v>
      </c>
      <c r="AW108" s="32">
        <v>0.96962616822429903</v>
      </c>
      <c r="AX108" s="32">
        <v>0.98858447488584478</v>
      </c>
      <c r="AY108" s="32">
        <v>0.95465393794749398</v>
      </c>
      <c r="AZ108" s="32">
        <v>0.95942720763723155</v>
      </c>
      <c r="BA108" s="32">
        <v>0.99045346062052508</v>
      </c>
      <c r="BB108" s="32">
        <v>0.97323227393902167</v>
      </c>
      <c r="BC108" s="32">
        <v>0.92307692307692313</v>
      </c>
      <c r="BD108" s="32">
        <v>0.95205479452054798</v>
      </c>
      <c r="BE108" s="32">
        <v>0.94638694638694643</v>
      </c>
      <c r="BF108" s="32">
        <v>0.94431554524361949</v>
      </c>
      <c r="BG108" s="32">
        <v>0.98598130841121501</v>
      </c>
      <c r="BH108" s="32">
        <v>0.9726027397260274</v>
      </c>
      <c r="BI108" s="32">
        <v>0.98598130841121501</v>
      </c>
      <c r="BJ108" s="32">
        <v>0.95862850939664201</v>
      </c>
      <c r="BK108" s="32">
        <v>0.94403892944038925</v>
      </c>
      <c r="BL108" s="32">
        <v>0.93706293706293708</v>
      </c>
      <c r="BM108" s="32">
        <v>0.96350364963503654</v>
      </c>
      <c r="BN108" s="32">
        <v>0.98296836982968372</v>
      </c>
      <c r="BO108" s="32">
        <v>0.9563106796116505</v>
      </c>
      <c r="BP108" s="32">
        <v>0.87621359223300976</v>
      </c>
      <c r="BQ108" s="32">
        <v>0.92718446601941751</v>
      </c>
      <c r="BR108" s="32">
        <v>0.94104037483316083</v>
      </c>
      <c r="BS108" s="32">
        <v>0.97330097087378642</v>
      </c>
      <c r="BT108" s="32">
        <v>0.98058252427184467</v>
      </c>
      <c r="BU108" s="32">
        <v>0.95883777239709445</v>
      </c>
      <c r="BV108" s="32">
        <v>0.94847775175644033</v>
      </c>
      <c r="BW108" s="32">
        <v>0.95873786407766992</v>
      </c>
      <c r="BX108" s="32">
        <v>0.94417475728155342</v>
      </c>
      <c r="BY108" s="32">
        <v>0.95873786407766992</v>
      </c>
      <c r="BZ108" s="32">
        <v>0.9604070721051513</v>
      </c>
      <c r="CA108" s="32">
        <v>0.9953596287703016</v>
      </c>
      <c r="CB108" s="32">
        <v>0.98611111111111116</v>
      </c>
      <c r="CC108" s="32">
        <v>0.99303944315545245</v>
      </c>
      <c r="CD108" s="32">
        <v>0.9675174013921114</v>
      </c>
      <c r="CE108" s="32">
        <v>0.97690531177829099</v>
      </c>
      <c r="CF108" s="32">
        <v>0.95370370370370372</v>
      </c>
      <c r="CG108" s="32">
        <v>0.87990762124711319</v>
      </c>
      <c r="CH108" s="32">
        <v>0.96464917445115483</v>
      </c>
      <c r="CI108" s="32">
        <v>0.970873786407767</v>
      </c>
      <c r="CJ108" s="32">
        <v>0.96527777777777779</v>
      </c>
      <c r="CK108" s="32">
        <v>0.94417475728155342</v>
      </c>
      <c r="CL108" s="32">
        <v>0.95673076923076927</v>
      </c>
      <c r="CM108" s="32">
        <v>0.97906976744186047</v>
      </c>
      <c r="CN108" s="32">
        <v>0.96997690531177827</v>
      </c>
      <c r="CO108" s="32">
        <v>0.97887323943661975</v>
      </c>
      <c r="CP108" s="32">
        <v>0.96642528612687517</v>
      </c>
      <c r="CQ108" s="32">
        <v>0.97542997542997545</v>
      </c>
      <c r="CR108" s="32">
        <v>0.97342995169082125</v>
      </c>
      <c r="CS108" s="32">
        <v>0.97788697788697787</v>
      </c>
      <c r="CT108" s="32">
        <v>0.94852941176470584</v>
      </c>
      <c r="CU108" s="32">
        <v>0.99285714285714288</v>
      </c>
      <c r="CV108" s="32">
        <v>0.96116504854368934</v>
      </c>
      <c r="CW108" s="32">
        <v>0.97108433734939759</v>
      </c>
      <c r="CX108" s="32">
        <v>0.97148326364610149</v>
      </c>
      <c r="CY108" s="32">
        <v>0.91891891891891897</v>
      </c>
      <c r="CZ108" s="32">
        <v>0.94174757281553401</v>
      </c>
      <c r="DA108" s="32">
        <v>0.93154034229828853</v>
      </c>
      <c r="DB108" s="32">
        <v>0.98780487804878048</v>
      </c>
      <c r="DC108" s="32">
        <v>0.98044009779951102</v>
      </c>
      <c r="DD108" s="32">
        <v>0.94902912621359226</v>
      </c>
      <c r="DE108" s="32">
        <v>0.99270072992700731</v>
      </c>
      <c r="DF108" s="32">
        <v>0.95745452371737605</v>
      </c>
      <c r="DG108" s="32">
        <v>0.93120393120393119</v>
      </c>
      <c r="DH108" s="32">
        <v>0.9463414634146341</v>
      </c>
      <c r="DI108" s="32">
        <v>0.94621026894865523</v>
      </c>
      <c r="DJ108" s="32">
        <v>0.96948356807511737</v>
      </c>
      <c r="DK108" s="32">
        <v>0.93658536585365859</v>
      </c>
      <c r="DL108" s="32">
        <v>0.97560975609756095</v>
      </c>
      <c r="DM108" s="32">
        <v>1</v>
      </c>
      <c r="DN108" s="32">
        <v>0.95791919337050824</v>
      </c>
      <c r="DO108" s="32">
        <v>0.93571428571428572</v>
      </c>
      <c r="DP108" s="32">
        <v>0.96018735362997654</v>
      </c>
      <c r="DQ108" s="32">
        <v>0.93154034229828853</v>
      </c>
      <c r="DR108" s="32">
        <v>0.94146341463414629</v>
      </c>
      <c r="DS108" s="32">
        <v>0.96713615023474175</v>
      </c>
      <c r="DT108" s="32">
        <v>0.97189695550351285</v>
      </c>
      <c r="DU108" s="32">
        <v>0.9509345794392523</v>
      </c>
      <c r="DV108" s="32">
        <v>0.95126758306488635</v>
      </c>
      <c r="DW108" s="32">
        <v>0.9211822660098522</v>
      </c>
      <c r="DX108" s="32">
        <v>0.9193154034229829</v>
      </c>
      <c r="DY108" s="32">
        <v>0.92364532019704437</v>
      </c>
      <c r="DZ108" s="32">
        <v>0.95354523227383858</v>
      </c>
      <c r="EA108" s="32">
        <v>0.92628992628992624</v>
      </c>
      <c r="EB108" s="32">
        <v>0.92926829268292688</v>
      </c>
      <c r="EC108" s="32">
        <v>0.95853658536585362</v>
      </c>
      <c r="ED108" s="32">
        <v>0.933111860891775</v>
      </c>
      <c r="EE108" s="32">
        <v>0.94827586206896552</v>
      </c>
      <c r="EF108" s="32">
        <v>0.95599022004889977</v>
      </c>
      <c r="EG108" s="32">
        <v>0.9511002444987775</v>
      </c>
      <c r="EH108" s="32">
        <v>0.96078431372549022</v>
      </c>
      <c r="EI108" s="32">
        <v>0.98044009779951102</v>
      </c>
      <c r="EJ108" s="32">
        <v>0.96332518337408313</v>
      </c>
      <c r="EK108" s="32">
        <v>0.9853300733496333</v>
      </c>
      <c r="EL108" s="32">
        <v>0.96360657069505151</v>
      </c>
    </row>
    <row r="109" spans="38:142" x14ac:dyDescent="0.25">
      <c r="AL109" s="19" t="s">
        <v>159</v>
      </c>
      <c r="AM109" s="32">
        <v>0.80040595399188097</v>
      </c>
      <c r="AN109" s="32">
        <v>0.82745098039215681</v>
      </c>
      <c r="AO109" s="32">
        <v>0.79293628808864269</v>
      </c>
      <c r="AP109" s="32">
        <v>0.7782126549249837</v>
      </c>
      <c r="AQ109" s="32">
        <v>0.82614379084967315</v>
      </c>
      <c r="AR109" s="32">
        <v>0.82713633398564901</v>
      </c>
      <c r="AS109" s="32">
        <v>0.81474233529028051</v>
      </c>
      <c r="AT109" s="32">
        <v>0.80957547678903807</v>
      </c>
      <c r="AU109" s="32">
        <v>0.80621201890614447</v>
      </c>
      <c r="AV109" s="32">
        <v>0.82156862745098036</v>
      </c>
      <c r="AW109" s="32">
        <v>0.78487161693268559</v>
      </c>
      <c r="AX109" s="32">
        <v>0.78510217534607774</v>
      </c>
      <c r="AY109" s="32">
        <v>0.83103221564760021</v>
      </c>
      <c r="AZ109" s="32">
        <v>0.82091503267973853</v>
      </c>
      <c r="BA109" s="32">
        <v>0.82645710543549444</v>
      </c>
      <c r="BB109" s="32">
        <v>0.81087982748553167</v>
      </c>
      <c r="BC109" s="32">
        <v>0.76614547926580556</v>
      </c>
      <c r="BD109" s="32">
        <v>0.82745098039215681</v>
      </c>
      <c r="BE109" s="32">
        <v>0.78084079944865614</v>
      </c>
      <c r="BF109" s="32">
        <v>0.76447368421052631</v>
      </c>
      <c r="BG109" s="32">
        <v>0.81644736842105259</v>
      </c>
      <c r="BH109" s="32">
        <v>0.82210595160235445</v>
      </c>
      <c r="BI109" s="32">
        <v>0.83158584534731328</v>
      </c>
      <c r="BJ109" s="32">
        <v>0.80129287266969496</v>
      </c>
      <c r="BK109" s="32">
        <v>0.67735334242837653</v>
      </c>
      <c r="BL109" s="32">
        <v>0.70367936925098551</v>
      </c>
      <c r="BM109" s="32">
        <v>0.6863699582753825</v>
      </c>
      <c r="BN109" s="32">
        <v>0.70085470085470081</v>
      </c>
      <c r="BO109" s="32">
        <v>0.62119205298013247</v>
      </c>
      <c r="BP109" s="32">
        <v>0.56464379947229548</v>
      </c>
      <c r="BQ109" s="32">
        <v>0.57152274225444955</v>
      </c>
      <c r="BR109" s="32">
        <v>0.64651656650233169</v>
      </c>
      <c r="BS109" s="32">
        <v>0.79972936400541272</v>
      </c>
      <c r="BT109" s="32">
        <v>0.74803664921465973</v>
      </c>
      <c r="BU109" s="32">
        <v>0.78914835164835162</v>
      </c>
      <c r="BV109" s="32">
        <v>0.78902677988242975</v>
      </c>
      <c r="BW109" s="32">
        <v>0.77952755905511806</v>
      </c>
      <c r="BX109" s="32">
        <v>0.7108196721311475</v>
      </c>
      <c r="BY109" s="32">
        <v>0.72214941022280477</v>
      </c>
      <c r="BZ109" s="32">
        <v>0.7626339694514177</v>
      </c>
      <c r="CA109" s="32">
        <v>0.83511348464619495</v>
      </c>
      <c r="CB109" s="32">
        <v>0.84550195567144715</v>
      </c>
      <c r="CC109" s="32">
        <v>0.84842249657064472</v>
      </c>
      <c r="CD109" s="32">
        <v>0.8374836173001311</v>
      </c>
      <c r="CE109" s="32">
        <v>0.84882198952879584</v>
      </c>
      <c r="CF109" s="32">
        <v>0.8768020969855832</v>
      </c>
      <c r="CG109" s="32">
        <v>0.88235294117647056</v>
      </c>
      <c r="CH109" s="32">
        <v>0.85349979741132387</v>
      </c>
      <c r="CI109" s="32">
        <v>0.84838274932614555</v>
      </c>
      <c r="CJ109" s="32">
        <v>0.85648754914809966</v>
      </c>
      <c r="CK109" s="32">
        <v>0.84134615384615385</v>
      </c>
      <c r="CL109" s="32">
        <v>0.82799215173315888</v>
      </c>
      <c r="CM109" s="32">
        <v>0.86173001310615993</v>
      </c>
      <c r="CN109" s="32">
        <v>0.8669724770642202</v>
      </c>
      <c r="CO109" s="32">
        <v>0.86173001310615993</v>
      </c>
      <c r="CP109" s="32">
        <v>0.85209158676144259</v>
      </c>
      <c r="CQ109" s="32">
        <v>0.82087542087542087</v>
      </c>
      <c r="CR109" s="32">
        <v>0.85209424083769636</v>
      </c>
      <c r="CS109" s="32">
        <v>0.81172413793103448</v>
      </c>
      <c r="CT109" s="32">
        <v>0.78871391076115482</v>
      </c>
      <c r="CU109" s="32">
        <v>0.83431952662721898</v>
      </c>
      <c r="CV109" s="32">
        <v>0.8259162303664922</v>
      </c>
      <c r="CW109" s="32">
        <v>0.85282522996057819</v>
      </c>
      <c r="CX109" s="32">
        <v>0.82663838533708511</v>
      </c>
      <c r="CY109" s="32">
        <v>0.81292517006802723</v>
      </c>
      <c r="CZ109" s="32">
        <v>0.82696046662346079</v>
      </c>
      <c r="DA109" s="32">
        <v>0.80820013898540655</v>
      </c>
      <c r="DB109" s="32">
        <v>0.80830039525691699</v>
      </c>
      <c r="DC109" s="32">
        <v>0.81913499344692009</v>
      </c>
      <c r="DD109" s="32">
        <v>0.84580351333767079</v>
      </c>
      <c r="DE109" s="32">
        <v>0.83268229166666663</v>
      </c>
      <c r="DF109" s="32">
        <v>0.82200099562643836</v>
      </c>
      <c r="DG109" s="32">
        <v>0.77755240027045303</v>
      </c>
      <c r="DH109" s="32">
        <v>0.82740447957839258</v>
      </c>
      <c r="DI109" s="32">
        <v>0.77050310130944177</v>
      </c>
      <c r="DJ109" s="32">
        <v>0.7800261096605744</v>
      </c>
      <c r="DK109" s="32">
        <v>0.81616688396349413</v>
      </c>
      <c r="DL109" s="32">
        <v>0.81462140992167098</v>
      </c>
      <c r="DM109" s="32">
        <v>0.82291666666666663</v>
      </c>
      <c r="DN109" s="32">
        <v>0.80131300733867039</v>
      </c>
      <c r="DO109" s="32">
        <v>0.75101214574898789</v>
      </c>
      <c r="DP109" s="32">
        <v>0.80221210149642164</v>
      </c>
      <c r="DQ109" s="32">
        <v>0.77494838265657262</v>
      </c>
      <c r="DR109" s="32">
        <v>0.74526453298497719</v>
      </c>
      <c r="DS109" s="32">
        <v>0.81409001956947158</v>
      </c>
      <c r="DT109" s="32">
        <v>0.79686479425212275</v>
      </c>
      <c r="DU109" s="32">
        <v>0.80718954248366015</v>
      </c>
      <c r="DV109" s="32">
        <v>0.78451164559888764</v>
      </c>
      <c r="DW109" s="32">
        <v>0.74388586956521741</v>
      </c>
      <c r="DX109" s="32">
        <v>0.79253926701570676</v>
      </c>
      <c r="DY109" s="32">
        <v>0.74307479224376727</v>
      </c>
      <c r="DZ109" s="32">
        <v>0.74754098360655741</v>
      </c>
      <c r="EA109" s="32">
        <v>0.76574803149606296</v>
      </c>
      <c r="EB109" s="32">
        <v>0.78864970645792565</v>
      </c>
      <c r="EC109" s="32">
        <v>0.77604166666666663</v>
      </c>
      <c r="ED109" s="32">
        <v>0.7653543310074149</v>
      </c>
      <c r="EE109" s="32">
        <v>0.76148648648648654</v>
      </c>
      <c r="EF109" s="32">
        <v>0.80609597924773024</v>
      </c>
      <c r="EG109" s="32">
        <v>0.76822558459422285</v>
      </c>
      <c r="EH109" s="32">
        <v>0.75866579463701767</v>
      </c>
      <c r="EI109" s="32">
        <v>0.79973821989528793</v>
      </c>
      <c r="EJ109" s="32">
        <v>0.78459530026109658</v>
      </c>
      <c r="EK109" s="32">
        <v>0.80104370515329415</v>
      </c>
      <c r="EL109" s="32">
        <v>0.78283586718216225</v>
      </c>
    </row>
    <row r="110" spans="38:142" x14ac:dyDescent="0.25">
      <c r="AL110" s="19" t="s">
        <v>160</v>
      </c>
      <c r="AM110" s="32">
        <v>0.94444444444444442</v>
      </c>
      <c r="AN110" s="32">
        <v>0.95331695331695332</v>
      </c>
      <c r="AO110" s="32">
        <v>0.9494949494949495</v>
      </c>
      <c r="AP110" s="32">
        <v>0.95454545454545459</v>
      </c>
      <c r="AQ110" s="32">
        <v>0.97222222222222221</v>
      </c>
      <c r="AR110" s="32">
        <v>0.96464646464646464</v>
      </c>
      <c r="AS110" s="32">
        <v>0.97222222222222221</v>
      </c>
      <c r="AT110" s="32">
        <v>0.95869895869895871</v>
      </c>
      <c r="AU110" s="32">
        <v>0.98737373737373735</v>
      </c>
      <c r="AV110" s="32">
        <v>0.98232323232323238</v>
      </c>
      <c r="AW110" s="32">
        <v>0.97222222222222221</v>
      </c>
      <c r="AX110" s="32">
        <v>0.9747474747474747</v>
      </c>
      <c r="AY110" s="32">
        <v>0.9874055415617129</v>
      </c>
      <c r="AZ110" s="32">
        <v>0.96212121212121215</v>
      </c>
      <c r="BA110" s="32">
        <v>0.96464646464646464</v>
      </c>
      <c r="BB110" s="32">
        <v>0.97583426928515082</v>
      </c>
      <c r="BC110" s="32">
        <v>0.95488721804511278</v>
      </c>
      <c r="BD110" s="32">
        <v>0.98488664987405539</v>
      </c>
      <c r="BE110" s="32">
        <v>0.92713567839195976</v>
      </c>
      <c r="BF110" s="32">
        <v>0.93984962406015038</v>
      </c>
      <c r="BG110" s="32">
        <v>0.957286432160804</v>
      </c>
      <c r="BH110" s="32">
        <v>0.96969696969696972</v>
      </c>
      <c r="BI110" s="32">
        <v>0.97236180904522618</v>
      </c>
      <c r="BJ110" s="32">
        <v>0.95801491161061114</v>
      </c>
      <c r="BK110" s="32">
        <v>0.93181818181818177</v>
      </c>
      <c r="BL110" s="32">
        <v>0.98232323232323238</v>
      </c>
      <c r="BM110" s="32">
        <v>0.99242424242424243</v>
      </c>
      <c r="BN110" s="32">
        <v>0.99753694581280783</v>
      </c>
      <c r="BO110" s="32">
        <v>0.96717171717171713</v>
      </c>
      <c r="BP110" s="32">
        <v>0.90404040404040409</v>
      </c>
      <c r="BQ110" s="32">
        <v>0.90404040404040409</v>
      </c>
      <c r="BR110" s="32">
        <v>0.95419358966156997</v>
      </c>
      <c r="BS110" s="32">
        <v>0.96296296296296291</v>
      </c>
      <c r="BT110" s="32">
        <v>0.99758454106280192</v>
      </c>
      <c r="BU110" s="32">
        <v>0.97911832946635735</v>
      </c>
      <c r="BV110" s="32">
        <v>0.98617511520737322</v>
      </c>
      <c r="BW110" s="32">
        <v>0.99765258215962438</v>
      </c>
      <c r="BX110" s="32">
        <v>0.995</v>
      </c>
      <c r="BY110" s="32">
        <v>0.9975669099756691</v>
      </c>
      <c r="BZ110" s="32">
        <v>0.98800863440496978</v>
      </c>
      <c r="CA110" s="32">
        <v>0.92142857142857137</v>
      </c>
      <c r="CB110" s="32">
        <v>0.99328859060402686</v>
      </c>
      <c r="CC110" s="32">
        <v>0.9761336515513126</v>
      </c>
      <c r="CD110" s="32">
        <v>0.94272076372315039</v>
      </c>
      <c r="CE110" s="32">
        <v>0.95813953488372094</v>
      </c>
      <c r="CF110" s="32">
        <v>0.9795454545454545</v>
      </c>
      <c r="CG110" s="32">
        <v>0.98169336384439354</v>
      </c>
      <c r="CH110" s="32">
        <v>0.96470713294009003</v>
      </c>
      <c r="CI110" s="32">
        <v>0.97169811320754718</v>
      </c>
      <c r="CJ110" s="32">
        <v>0.95035460992907805</v>
      </c>
      <c r="CK110" s="32">
        <v>0.95704057279236276</v>
      </c>
      <c r="CL110" s="32">
        <v>0.94761904761904758</v>
      </c>
      <c r="CM110" s="32">
        <v>0.9882075471698113</v>
      </c>
      <c r="CN110" s="32">
        <v>0.96495327102803741</v>
      </c>
      <c r="CO110" s="32">
        <v>0.97142857142857142</v>
      </c>
      <c r="CP110" s="32">
        <v>0.9644716761677794</v>
      </c>
      <c r="CQ110" s="32">
        <v>0.92978208232445525</v>
      </c>
      <c r="CR110" s="32">
        <v>0.95704057279236276</v>
      </c>
      <c r="CS110" s="32">
        <v>0.89021479713603824</v>
      </c>
      <c r="CT110" s="32">
        <v>0.93961352657004826</v>
      </c>
      <c r="CU110" s="32">
        <v>0.94749403341288785</v>
      </c>
      <c r="CV110" s="32">
        <v>0.97727272727272729</v>
      </c>
      <c r="CW110" s="32">
        <v>0.96420047732696901</v>
      </c>
      <c r="CX110" s="32">
        <v>0.94365974526221275</v>
      </c>
      <c r="CY110" s="32">
        <v>0.91169451073985686</v>
      </c>
      <c r="CZ110" s="32">
        <v>0.90758293838862558</v>
      </c>
      <c r="DA110" s="32">
        <v>0.9284009546539379</v>
      </c>
      <c r="DB110" s="32">
        <v>0.94285714285714284</v>
      </c>
      <c r="DC110" s="32">
        <v>0.93794749403341293</v>
      </c>
      <c r="DD110" s="32">
        <v>0.95283018867924529</v>
      </c>
      <c r="DE110" s="32">
        <v>0.96437054631828978</v>
      </c>
      <c r="DF110" s="32">
        <v>0.93509768223864442</v>
      </c>
      <c r="DG110" s="32">
        <v>0.95476190476190481</v>
      </c>
      <c r="DH110" s="32">
        <v>0.94033412887828161</v>
      </c>
      <c r="DI110" s="32">
        <v>0.95704057279236276</v>
      </c>
      <c r="DJ110" s="32">
        <v>0.95465393794749398</v>
      </c>
      <c r="DK110" s="32">
        <v>0.96658711217183768</v>
      </c>
      <c r="DL110" s="32">
        <v>0.95714285714285718</v>
      </c>
      <c r="DM110" s="32">
        <v>0.94523809523809521</v>
      </c>
      <c r="DN110" s="32">
        <v>0.95367980127611907</v>
      </c>
      <c r="DO110" s="32">
        <v>0.92362768496420045</v>
      </c>
      <c r="DP110" s="32">
        <v>0.95981087470449178</v>
      </c>
      <c r="DQ110" s="32">
        <v>0.94988066825775652</v>
      </c>
      <c r="DR110" s="32">
        <v>0.9761336515513126</v>
      </c>
      <c r="DS110" s="32">
        <v>0.94033412887828161</v>
      </c>
      <c r="DT110" s="32">
        <v>0.96666666666666667</v>
      </c>
      <c r="DU110" s="32">
        <v>0.95942720763723155</v>
      </c>
      <c r="DV110" s="32">
        <v>0.95369726895142015</v>
      </c>
      <c r="DW110" s="32">
        <v>0.94272076372315039</v>
      </c>
      <c r="DX110" s="32">
        <v>0.96420047732696901</v>
      </c>
      <c r="DY110" s="32">
        <v>0.96904761904761905</v>
      </c>
      <c r="DZ110" s="32">
        <v>0.97136038186157514</v>
      </c>
      <c r="EA110" s="32">
        <v>0.9761336515513126</v>
      </c>
      <c r="EB110" s="32">
        <v>0.97387173396674587</v>
      </c>
      <c r="EC110" s="32">
        <v>0.92142857142857137</v>
      </c>
      <c r="ED110" s="32">
        <v>0.95982331412942046</v>
      </c>
      <c r="EE110" s="32">
        <v>0.96420047732696901</v>
      </c>
      <c r="EF110" s="32">
        <v>0.97176470588235297</v>
      </c>
      <c r="EG110" s="32">
        <v>0.96897374701670647</v>
      </c>
      <c r="EH110" s="32">
        <v>0.96437054631828978</v>
      </c>
      <c r="EI110" s="32">
        <v>0.97852028639618138</v>
      </c>
      <c r="EJ110" s="32">
        <v>0.97411764705882353</v>
      </c>
      <c r="EK110" s="32">
        <v>0.9642857142857143</v>
      </c>
      <c r="EL110" s="32">
        <v>0.96946187489786251</v>
      </c>
    </row>
    <row r="111" spans="38:142" x14ac:dyDescent="0.25">
      <c r="AL111" s="19" t="s">
        <v>292</v>
      </c>
      <c r="AM111" s="32">
        <v>0.95138888888888884</v>
      </c>
      <c r="AN111" s="32">
        <v>0.93039443155452439</v>
      </c>
      <c r="AO111" s="32">
        <v>0.95138888888888884</v>
      </c>
      <c r="AP111" s="32">
        <v>0.9454976303317536</v>
      </c>
      <c r="AQ111" s="32">
        <v>0.95138888888888884</v>
      </c>
      <c r="AR111" s="32">
        <v>0.93911007025761128</v>
      </c>
      <c r="AS111" s="32">
        <v>0.94212962962962965</v>
      </c>
      <c r="AT111" s="32">
        <v>0.94447120406288376</v>
      </c>
      <c r="AU111" s="32">
        <v>1</v>
      </c>
      <c r="AV111" s="32">
        <v>0.9454976303317536</v>
      </c>
      <c r="AW111" s="32">
        <v>1</v>
      </c>
      <c r="AX111" s="32">
        <v>1</v>
      </c>
      <c r="AY111" s="32">
        <v>1</v>
      </c>
      <c r="AZ111" s="32">
        <v>0.98090692124105017</v>
      </c>
      <c r="BA111" s="32">
        <v>0.94272076372315039</v>
      </c>
      <c r="BB111" s="32">
        <v>0.98130361647085063</v>
      </c>
      <c r="BC111" s="32">
        <v>0.95529411764705885</v>
      </c>
      <c r="BD111" s="32">
        <v>0.94457274826789839</v>
      </c>
      <c r="BE111" s="32">
        <v>0.95529411764705885</v>
      </c>
      <c r="BF111" s="32">
        <v>0.95529411764705885</v>
      </c>
      <c r="BG111" s="32">
        <v>0.95529411764705885</v>
      </c>
      <c r="BH111" s="32">
        <v>0.93548387096774188</v>
      </c>
      <c r="BI111" s="32">
        <v>0.95529411764705885</v>
      </c>
      <c r="BJ111" s="32">
        <v>0.9509324582101335</v>
      </c>
      <c r="BK111" s="32">
        <v>0.95249406175771967</v>
      </c>
      <c r="BL111" s="32">
        <v>0.85273159144893107</v>
      </c>
      <c r="BM111" s="32">
        <v>0.95249406175771967</v>
      </c>
      <c r="BN111" s="32">
        <v>0.95138888888888884</v>
      </c>
      <c r="BO111" s="32">
        <v>0.95249406175771967</v>
      </c>
      <c r="BP111" s="32">
        <v>0.85273159144893107</v>
      </c>
      <c r="BQ111" s="32">
        <v>0.95249406175771967</v>
      </c>
      <c r="BR111" s="32">
        <v>0.92383261697394692</v>
      </c>
      <c r="BS111" s="32">
        <v>0.9353348729792148</v>
      </c>
      <c r="BT111" s="32">
        <v>0.95138888888888884</v>
      </c>
      <c r="BU111" s="32">
        <v>0.9353348729792148</v>
      </c>
      <c r="BV111" s="32">
        <v>0.93424036281179135</v>
      </c>
      <c r="BW111" s="32">
        <v>0.9353348729792148</v>
      </c>
      <c r="BX111" s="32">
        <v>0.95138888888888884</v>
      </c>
      <c r="BY111" s="32">
        <v>0.9353348729792148</v>
      </c>
      <c r="BZ111" s="32">
        <v>0.93976537607234689</v>
      </c>
      <c r="CA111" s="32">
        <v>0.94919168591224024</v>
      </c>
      <c r="CB111" s="32">
        <v>0.93424036281179135</v>
      </c>
      <c r="CC111" s="32">
        <v>0.94919168591224024</v>
      </c>
      <c r="CD111" s="32">
        <v>0.97986577181208057</v>
      </c>
      <c r="CE111" s="32">
        <v>0.95248868778280538</v>
      </c>
      <c r="CF111" s="32">
        <v>0.96355353075170846</v>
      </c>
      <c r="CG111" s="32">
        <v>0.95475113122171951</v>
      </c>
      <c r="CH111" s="32">
        <v>0.95475469374351207</v>
      </c>
      <c r="CI111" s="32">
        <v>0.96759259259259256</v>
      </c>
      <c r="CJ111" s="32">
        <v>0.97986577181208057</v>
      </c>
      <c r="CK111" s="32">
        <v>0.96759259259259256</v>
      </c>
      <c r="CL111" s="32">
        <v>0.97906976744186047</v>
      </c>
      <c r="CM111" s="32">
        <v>0.96136363636363631</v>
      </c>
      <c r="CN111" s="32">
        <v>0.95485327313769752</v>
      </c>
      <c r="CO111" s="32">
        <v>0.96363636363636362</v>
      </c>
      <c r="CP111" s="32">
        <v>0.96771057108240333</v>
      </c>
      <c r="CQ111" s="32">
        <v>0.97254004576659037</v>
      </c>
      <c r="CR111" s="32">
        <v>0.97906976744186047</v>
      </c>
      <c r="CS111" s="32">
        <v>0.97254004576659037</v>
      </c>
      <c r="CT111" s="32">
        <v>0.97254004576659037</v>
      </c>
      <c r="CU111" s="32">
        <v>0.97254004576659037</v>
      </c>
      <c r="CV111" s="32">
        <v>0.94690265486725667</v>
      </c>
      <c r="CW111" s="32">
        <v>0.98401826484018262</v>
      </c>
      <c r="CX111" s="32">
        <v>0.97145012431652311</v>
      </c>
      <c r="CY111" s="32">
        <v>0.95545657015590202</v>
      </c>
      <c r="CZ111" s="32">
        <v>0.94235033259423506</v>
      </c>
      <c r="DA111" s="32">
        <v>0.95545657015590202</v>
      </c>
      <c r="DB111" s="32">
        <v>0.99313501144164762</v>
      </c>
      <c r="DC111" s="32">
        <v>0.95545657015590202</v>
      </c>
      <c r="DD111" s="32">
        <v>0.97482837528604116</v>
      </c>
      <c r="DE111" s="32">
        <v>0.96825396825396826</v>
      </c>
      <c r="DF111" s="32">
        <v>0.96356248543479961</v>
      </c>
      <c r="DG111" s="32">
        <v>0.97940503432494275</v>
      </c>
      <c r="DH111" s="32">
        <v>0.99313501144164762</v>
      </c>
      <c r="DI111" s="32">
        <v>0.97940503432494275</v>
      </c>
      <c r="DJ111" s="32">
        <v>0.9753363228699552</v>
      </c>
      <c r="DK111" s="32">
        <v>0.97940503432494275</v>
      </c>
      <c r="DL111" s="32">
        <v>0.99313501144164762</v>
      </c>
      <c r="DM111" s="32">
        <v>0.99313501144164762</v>
      </c>
      <c r="DN111" s="32">
        <v>0.98470806573853231</v>
      </c>
      <c r="DO111" s="32">
        <v>0.96145124716553287</v>
      </c>
      <c r="DP111" s="32">
        <v>0.9753363228699552</v>
      </c>
      <c r="DQ111" s="32">
        <v>0.96145124716553287</v>
      </c>
      <c r="DR111" s="32">
        <v>0.96145124716553287</v>
      </c>
      <c r="DS111" s="32">
        <v>0.97747747747747749</v>
      </c>
      <c r="DT111" s="32">
        <v>0.9887892376681614</v>
      </c>
      <c r="DU111" s="32">
        <v>0.99103139013452912</v>
      </c>
      <c r="DV111" s="32">
        <v>0.97385545280667452</v>
      </c>
      <c r="DW111" s="32">
        <v>0.98423423423423428</v>
      </c>
      <c r="DX111" s="32">
        <v>0.98654708520179368</v>
      </c>
      <c r="DY111" s="32">
        <v>0.98423423423423428</v>
      </c>
      <c r="DZ111" s="32">
        <v>0.98423423423423428</v>
      </c>
      <c r="EA111" s="32">
        <v>0.98198198198198194</v>
      </c>
      <c r="EB111" s="32">
        <v>0.97982062780269064</v>
      </c>
      <c r="EC111" s="32">
        <v>0.99101123595505614</v>
      </c>
      <c r="ED111" s="32">
        <v>0.98458051909203237</v>
      </c>
      <c r="EE111" s="32">
        <v>0.96179775280898872</v>
      </c>
      <c r="EF111" s="32">
        <v>0.99774266365688491</v>
      </c>
      <c r="EG111" s="32">
        <v>0.96179775280898872</v>
      </c>
      <c r="EH111" s="32">
        <v>0.96179775280898872</v>
      </c>
      <c r="EI111" s="32">
        <v>0.963882618510158</v>
      </c>
      <c r="EJ111" s="32">
        <v>0.96613995485327309</v>
      </c>
      <c r="EK111" s="32">
        <v>0.963882618510158</v>
      </c>
      <c r="EL111" s="32">
        <v>0.96814873056534878</v>
      </c>
    </row>
    <row r="112" spans="38:142" x14ac:dyDescent="0.25">
      <c r="AL112" s="19" t="s">
        <v>161</v>
      </c>
      <c r="AM112" s="32">
        <v>1</v>
      </c>
      <c r="AN112" s="32">
        <v>0.99531615925058547</v>
      </c>
      <c r="AO112" s="32">
        <v>1</v>
      </c>
      <c r="AP112" s="32">
        <v>1</v>
      </c>
      <c r="AQ112" s="32">
        <v>0.98829039812646369</v>
      </c>
      <c r="AR112" s="32">
        <v>0.98360655737704916</v>
      </c>
      <c r="AS112" s="32">
        <v>0.99765807962529274</v>
      </c>
      <c r="AT112" s="32">
        <v>0.99498159919705587</v>
      </c>
      <c r="AU112" s="32">
        <v>0.98829039812646369</v>
      </c>
      <c r="AV112" s="32">
        <v>0.99531615925058547</v>
      </c>
      <c r="AW112" s="32">
        <v>0.9625292740046838</v>
      </c>
      <c r="AX112" s="32">
        <v>0.99531615925058547</v>
      </c>
      <c r="AY112" s="32">
        <v>0.97658079625292737</v>
      </c>
      <c r="AZ112" s="32">
        <v>0.98360655737704916</v>
      </c>
      <c r="BA112" s="32">
        <v>0.98829039812646369</v>
      </c>
      <c r="BB112" s="32">
        <v>0.98427567748410838</v>
      </c>
      <c r="BC112" s="32">
        <v>0.99531615925058547</v>
      </c>
      <c r="BD112" s="32">
        <v>0.99063231850117095</v>
      </c>
      <c r="BE112" s="32">
        <v>0.99297423887587821</v>
      </c>
      <c r="BF112" s="32">
        <v>0.94145199063231855</v>
      </c>
      <c r="BG112" s="32">
        <v>0.99765807962529274</v>
      </c>
      <c r="BH112" s="32">
        <v>0.99765807962529274</v>
      </c>
      <c r="BI112" s="32">
        <v>0.99531615925058547</v>
      </c>
      <c r="BJ112" s="32">
        <v>0.98728671796587475</v>
      </c>
      <c r="BK112" s="32">
        <v>0.99029126213592233</v>
      </c>
      <c r="BL112" s="32">
        <v>0.99063231850117095</v>
      </c>
      <c r="BM112" s="32">
        <v>0.9854368932038835</v>
      </c>
      <c r="BN112" s="32">
        <v>0.99541284403669728</v>
      </c>
      <c r="BO112" s="32">
        <v>0.94174757281553401</v>
      </c>
      <c r="BP112" s="32">
        <v>0.99297423887587821</v>
      </c>
      <c r="BQ112" s="32">
        <v>0.97330097087378642</v>
      </c>
      <c r="BR112" s="32">
        <v>0.98139944292041048</v>
      </c>
      <c r="BS112" s="32">
        <v>0.99043062200956933</v>
      </c>
      <c r="BT112" s="32">
        <v>0.99521531100478466</v>
      </c>
      <c r="BU112" s="32">
        <v>0.99521531100478466</v>
      </c>
      <c r="BV112" s="32">
        <v>0.99521531100478466</v>
      </c>
      <c r="BW112" s="32">
        <v>0.98086124401913877</v>
      </c>
      <c r="BX112" s="32">
        <v>0.99541284403669728</v>
      </c>
      <c r="BY112" s="32">
        <v>0.92660550458715596</v>
      </c>
      <c r="BZ112" s="32">
        <v>0.98270802109527355</v>
      </c>
      <c r="CA112" s="32">
        <v>0.99282296650717705</v>
      </c>
      <c r="CB112" s="32">
        <v>0.97247706422018354</v>
      </c>
      <c r="CC112" s="32">
        <v>0.98803827751196172</v>
      </c>
      <c r="CD112" s="32">
        <v>0.98325358851674638</v>
      </c>
      <c r="CE112" s="32">
        <v>0.99043062200956933</v>
      </c>
      <c r="CF112" s="32">
        <v>0.99043062200956933</v>
      </c>
      <c r="CG112" s="32">
        <v>0.99521531100478466</v>
      </c>
      <c r="CH112" s="32">
        <v>0.98752406453999875</v>
      </c>
      <c r="CI112" s="32">
        <v>0.98817966903073284</v>
      </c>
      <c r="CJ112" s="32">
        <v>0.99282296650717705</v>
      </c>
      <c r="CK112" s="32">
        <v>0.99521531100478466</v>
      </c>
      <c r="CL112" s="32">
        <v>0.97607655502392343</v>
      </c>
      <c r="CM112" s="32">
        <v>0.99054373522458627</v>
      </c>
      <c r="CN112" s="32">
        <v>0.99043062200956933</v>
      </c>
      <c r="CO112" s="32">
        <v>0.99521531100478466</v>
      </c>
      <c r="CP112" s="32">
        <v>0.98978345282936542</v>
      </c>
      <c r="CQ112" s="32">
        <v>0.99282296650717705</v>
      </c>
      <c r="CR112" s="32">
        <v>1</v>
      </c>
      <c r="CS112" s="32">
        <v>0.98325358851674638</v>
      </c>
      <c r="CT112" s="32">
        <v>0.99282296650717705</v>
      </c>
      <c r="CU112" s="32">
        <v>0.99521531100478466</v>
      </c>
      <c r="CV112" s="32">
        <v>0.99287410926365793</v>
      </c>
      <c r="CW112" s="32">
        <v>0.99043062200956933</v>
      </c>
      <c r="CX112" s="32">
        <v>0.9924885091155875</v>
      </c>
      <c r="CY112" s="32">
        <v>0.99521531100478466</v>
      </c>
      <c r="CZ112" s="32">
        <v>0.99521531100478466</v>
      </c>
      <c r="DA112" s="32">
        <v>0.99282296650717705</v>
      </c>
      <c r="DB112" s="32">
        <v>0.99521531100478466</v>
      </c>
      <c r="DC112" s="32">
        <v>0.99043062200956933</v>
      </c>
      <c r="DD112" s="32">
        <v>0.99521531100478466</v>
      </c>
      <c r="DE112" s="32">
        <v>0.99521531100478466</v>
      </c>
      <c r="DF112" s="32">
        <v>0.99419002050580996</v>
      </c>
      <c r="DG112" s="32">
        <v>0.99307159353348728</v>
      </c>
      <c r="DH112" s="32">
        <v>1</v>
      </c>
      <c r="DI112" s="32">
        <v>0.98845265588914555</v>
      </c>
      <c r="DJ112" s="32">
        <v>0.99307159353348728</v>
      </c>
      <c r="DK112" s="32">
        <v>0.98845265588914555</v>
      </c>
      <c r="DL112" s="32">
        <v>1</v>
      </c>
      <c r="DM112" s="32">
        <v>1</v>
      </c>
      <c r="DN112" s="32">
        <v>0.99472121412075232</v>
      </c>
      <c r="DO112" s="32">
        <v>0.9929906542056075</v>
      </c>
      <c r="DP112" s="32">
        <v>0.99532710280373837</v>
      </c>
      <c r="DQ112" s="32">
        <v>0.99065420560747663</v>
      </c>
      <c r="DR112" s="32">
        <v>0.99532710280373837</v>
      </c>
      <c r="DS112" s="32">
        <v>0.99065420560747663</v>
      </c>
      <c r="DT112" s="32">
        <v>0.99766355140186913</v>
      </c>
      <c r="DU112" s="32">
        <v>0.9929906542056075</v>
      </c>
      <c r="DV112" s="32">
        <v>0.99365821094793072</v>
      </c>
      <c r="DW112" s="32">
        <v>0.9929906542056075</v>
      </c>
      <c r="DX112" s="32">
        <v>0.9929906542056075</v>
      </c>
      <c r="DY112" s="32">
        <v>0.93457943925233644</v>
      </c>
      <c r="DZ112" s="32">
        <v>0.94392523364485981</v>
      </c>
      <c r="EA112" s="32">
        <v>1</v>
      </c>
      <c r="EB112" s="32">
        <v>0.99532710280373837</v>
      </c>
      <c r="EC112" s="32">
        <v>0.99769053117782913</v>
      </c>
      <c r="ED112" s="32">
        <v>0.97964337361285414</v>
      </c>
      <c r="EE112" s="32">
        <v>0.98598130841121501</v>
      </c>
      <c r="EF112" s="32">
        <v>0.93457943925233644</v>
      </c>
      <c r="EG112" s="32">
        <v>0.98130841121495327</v>
      </c>
      <c r="EH112" s="32">
        <v>0.99532710280373837</v>
      </c>
      <c r="EI112" s="32">
        <v>0.99065420560747663</v>
      </c>
      <c r="EJ112" s="32">
        <v>0.98130841121495327</v>
      </c>
      <c r="EK112" s="32">
        <v>0.9929906542056075</v>
      </c>
      <c r="EL112" s="32">
        <v>0.98030707610146872</v>
      </c>
    </row>
    <row r="113" spans="38:142" x14ac:dyDescent="0.25">
      <c r="AL113" s="19" t="s">
        <v>162</v>
      </c>
      <c r="AM113" s="32">
        <v>0.83275862068965523</v>
      </c>
      <c r="AN113" s="32">
        <v>0.86701208981001732</v>
      </c>
      <c r="AO113" s="32">
        <v>0.84482758620689657</v>
      </c>
      <c r="AP113" s="32">
        <v>0.88793103448275867</v>
      </c>
      <c r="AQ113" s="32">
        <v>0.86284722222222221</v>
      </c>
      <c r="AR113" s="32">
        <v>0.86495726495726499</v>
      </c>
      <c r="AS113" s="32">
        <v>0.85787671232876717</v>
      </c>
      <c r="AT113" s="32">
        <v>0.85974436152822609</v>
      </c>
      <c r="AU113" s="32">
        <v>0.89931740614334466</v>
      </c>
      <c r="AV113" s="32">
        <v>0.88586030664395232</v>
      </c>
      <c r="AW113" s="32">
        <v>0.89193825042881647</v>
      </c>
      <c r="AX113" s="32">
        <v>0.87951807228915657</v>
      </c>
      <c r="AY113" s="32">
        <v>0.91252144082332765</v>
      </c>
      <c r="AZ113" s="32">
        <v>0.87889273356401387</v>
      </c>
      <c r="BA113" s="32">
        <v>0.90311418685121103</v>
      </c>
      <c r="BB113" s="32">
        <v>0.89302319953483178</v>
      </c>
      <c r="BC113" s="32">
        <v>0.86332179930795849</v>
      </c>
      <c r="BD113" s="32">
        <v>0.92478632478632483</v>
      </c>
      <c r="BE113" s="32">
        <v>0.87392055267702939</v>
      </c>
      <c r="BF113" s="32">
        <v>0.87904599659284499</v>
      </c>
      <c r="BG113" s="32">
        <v>0.89347079037800692</v>
      </c>
      <c r="BH113" s="32">
        <v>0.88888888888888884</v>
      </c>
      <c r="BI113" s="32">
        <v>0.88164665523156094</v>
      </c>
      <c r="BJ113" s="32">
        <v>0.88644014398037363</v>
      </c>
      <c r="BK113" s="32">
        <v>0.81358885017421601</v>
      </c>
      <c r="BL113" s="32">
        <v>0.84615384615384615</v>
      </c>
      <c r="BM113" s="32">
        <v>0.82782608695652171</v>
      </c>
      <c r="BN113" s="32">
        <v>0.82782608695652171</v>
      </c>
      <c r="BO113" s="32">
        <v>0.78534031413612571</v>
      </c>
      <c r="BP113" s="32">
        <v>0.73830155979202772</v>
      </c>
      <c r="BQ113" s="32">
        <v>0.75789473684210529</v>
      </c>
      <c r="BR113" s="32">
        <v>0.79956164014448061</v>
      </c>
      <c r="BS113" s="32">
        <v>0.86486486486486491</v>
      </c>
      <c r="BT113" s="32">
        <v>0.89103690685413006</v>
      </c>
      <c r="BU113" s="32">
        <v>0.88741721854304634</v>
      </c>
      <c r="BV113" s="32">
        <v>0.89038785834738621</v>
      </c>
      <c r="BW113" s="32">
        <v>0.88552188552188549</v>
      </c>
      <c r="BX113" s="32">
        <v>0.85739130434782607</v>
      </c>
      <c r="BY113" s="32">
        <v>0.84327086882453151</v>
      </c>
      <c r="BZ113" s="32">
        <v>0.87427012961480999</v>
      </c>
      <c r="CA113" s="32">
        <v>0.86544850498338866</v>
      </c>
      <c r="CB113" s="32">
        <v>0.90909090909090906</v>
      </c>
      <c r="CC113" s="32">
        <v>0.86310517529215358</v>
      </c>
      <c r="CD113" s="32">
        <v>0.87959866220735783</v>
      </c>
      <c r="CE113" s="32">
        <v>0.90397350993377479</v>
      </c>
      <c r="CF113" s="32">
        <v>0.89552238805970152</v>
      </c>
      <c r="CG113" s="32">
        <v>0.88186356073211314</v>
      </c>
      <c r="CH113" s="32">
        <v>0.88551467289991403</v>
      </c>
      <c r="CI113" s="32">
        <v>0.86310517529215358</v>
      </c>
      <c r="CJ113" s="32">
        <v>0.91014975041597335</v>
      </c>
      <c r="CK113" s="32">
        <v>0.87080536912751683</v>
      </c>
      <c r="CL113" s="32">
        <v>0.8833333333333333</v>
      </c>
      <c r="CM113" s="32">
        <v>0.89054726368159209</v>
      </c>
      <c r="CN113" s="32">
        <v>0.92205638474295193</v>
      </c>
      <c r="CO113" s="32">
        <v>0.91514143094841927</v>
      </c>
      <c r="CP113" s="32">
        <v>0.89359124393456291</v>
      </c>
      <c r="CQ113" s="32">
        <v>0.85451505016722407</v>
      </c>
      <c r="CR113" s="32">
        <v>0.90771812080536918</v>
      </c>
      <c r="CS113" s="32">
        <v>0.85333333333333339</v>
      </c>
      <c r="CT113" s="32">
        <v>0.88834154351395733</v>
      </c>
      <c r="CU113" s="32">
        <v>0.86310517529215358</v>
      </c>
      <c r="CV113" s="32">
        <v>0.85594639865996647</v>
      </c>
      <c r="CW113" s="32">
        <v>0.87853577371048253</v>
      </c>
      <c r="CX113" s="32">
        <v>0.87164219935464093</v>
      </c>
      <c r="CY113" s="32">
        <v>0.89700996677740863</v>
      </c>
      <c r="CZ113" s="32">
        <v>0.91570247933884297</v>
      </c>
      <c r="DA113" s="32">
        <v>0.88039867109634551</v>
      </c>
      <c r="DB113" s="32">
        <v>0.88059701492537312</v>
      </c>
      <c r="DC113" s="32">
        <v>0.91598023064250411</v>
      </c>
      <c r="DD113" s="32">
        <v>0.91103789126853374</v>
      </c>
      <c r="DE113" s="32">
        <v>0.92257001647446457</v>
      </c>
      <c r="DF113" s="32">
        <v>0.90332803864621047</v>
      </c>
      <c r="DG113" s="32">
        <v>0.89112227805695143</v>
      </c>
      <c r="DH113" s="32">
        <v>0.91860465116279066</v>
      </c>
      <c r="DI113" s="32">
        <v>0.87312186978297157</v>
      </c>
      <c r="DJ113" s="32">
        <v>0.88127090301003341</v>
      </c>
      <c r="DK113" s="32">
        <v>0.88500000000000001</v>
      </c>
      <c r="DL113" s="32">
        <v>0.90311986863711002</v>
      </c>
      <c r="DM113" s="32">
        <v>0.90774299835255357</v>
      </c>
      <c r="DN113" s="32">
        <v>0.89428322414320149</v>
      </c>
      <c r="DO113" s="32">
        <v>0.83473861720067455</v>
      </c>
      <c r="DP113" s="32">
        <v>0.88609715242881071</v>
      </c>
      <c r="DQ113" s="32">
        <v>0.83811129848229338</v>
      </c>
      <c r="DR113" s="32">
        <v>0.83501683501683499</v>
      </c>
      <c r="DS113" s="32">
        <v>0.85570469798657722</v>
      </c>
      <c r="DT113" s="32">
        <v>0.86767169179229475</v>
      </c>
      <c r="DU113" s="32">
        <v>0.8363939899833055</v>
      </c>
      <c r="DV113" s="32">
        <v>0.85053346898439863</v>
      </c>
      <c r="DW113" s="32">
        <v>0.84175084175084181</v>
      </c>
      <c r="DX113" s="32">
        <v>0.8825503355704698</v>
      </c>
      <c r="DY113" s="32">
        <v>0.82352941176470584</v>
      </c>
      <c r="DZ113" s="32">
        <v>0.84511784511784516</v>
      </c>
      <c r="EA113" s="32">
        <v>0.84148397976391232</v>
      </c>
      <c r="EB113" s="32">
        <v>0.85427135678391963</v>
      </c>
      <c r="EC113" s="32">
        <v>0.8802698145025295</v>
      </c>
      <c r="ED113" s="32">
        <v>0.85271051217917482</v>
      </c>
      <c r="EE113" s="32">
        <v>0.85210084033613442</v>
      </c>
      <c r="EF113" s="32">
        <v>0.84949832775919731</v>
      </c>
      <c r="EG113" s="32">
        <v>0.84949832775919731</v>
      </c>
      <c r="EH113" s="32">
        <v>0.88245033112582782</v>
      </c>
      <c r="EI113" s="32">
        <v>0.86767169179229475</v>
      </c>
      <c r="EJ113" s="32">
        <v>0.875</v>
      </c>
      <c r="EK113" s="32">
        <v>0.87205387205387208</v>
      </c>
      <c r="EL113" s="32">
        <v>0.86403905583236063</v>
      </c>
    </row>
    <row r="114" spans="38:142" x14ac:dyDescent="0.25">
      <c r="AL114" s="19" t="s">
        <v>163</v>
      </c>
      <c r="AM114" s="32">
        <v>0.90670170827858076</v>
      </c>
      <c r="AN114" s="32">
        <v>0.90013140604467801</v>
      </c>
      <c r="AO114" s="32">
        <v>0.92247043363994741</v>
      </c>
      <c r="AP114" s="32">
        <v>0.91327201051248352</v>
      </c>
      <c r="AQ114" s="32">
        <v>0.91590013140604465</v>
      </c>
      <c r="AR114" s="32">
        <v>0.89618922470433637</v>
      </c>
      <c r="AS114" s="32">
        <v>0.91852825229960577</v>
      </c>
      <c r="AT114" s="32">
        <v>0.91045616669795382</v>
      </c>
      <c r="AU114" s="32">
        <v>0.94218134034165568</v>
      </c>
      <c r="AV114" s="32">
        <v>0.9329829172141918</v>
      </c>
      <c r="AW114" s="32">
        <v>0.93166885676741129</v>
      </c>
      <c r="AX114" s="32">
        <v>0.93166885676741129</v>
      </c>
      <c r="AY114" s="32">
        <v>0.92772667542706966</v>
      </c>
      <c r="AZ114" s="32">
        <v>0.92247043363994741</v>
      </c>
      <c r="BA114" s="32">
        <v>0.92904073587385017</v>
      </c>
      <c r="BB114" s="32">
        <v>0.93110568800450533</v>
      </c>
      <c r="BC114" s="32">
        <v>0.91469816272965876</v>
      </c>
      <c r="BD114" s="32">
        <v>0.92904073587385017</v>
      </c>
      <c r="BE114" s="32">
        <v>0.91338582677165359</v>
      </c>
      <c r="BF114" s="32">
        <v>0.91076115485564302</v>
      </c>
      <c r="BG114" s="32">
        <v>0.90801576872536138</v>
      </c>
      <c r="BH114" s="32">
        <v>0.93166885676741129</v>
      </c>
      <c r="BI114" s="32">
        <v>0.89750328515111699</v>
      </c>
      <c r="BJ114" s="32">
        <v>0.9150105415535279</v>
      </c>
      <c r="BK114" s="32">
        <v>0.8648293963254593</v>
      </c>
      <c r="BL114" s="32">
        <v>0.83989501312335957</v>
      </c>
      <c r="BM114" s="32">
        <v>0.87139107611548561</v>
      </c>
      <c r="BN114" s="32">
        <v>0.90157480314960625</v>
      </c>
      <c r="BO114" s="32">
        <v>0.84776902887139105</v>
      </c>
      <c r="BP114" s="32">
        <v>0.77559055118110232</v>
      </c>
      <c r="BQ114" s="32">
        <v>0.79002624671916011</v>
      </c>
      <c r="BR114" s="32">
        <v>0.84158230221222341</v>
      </c>
      <c r="BS114" s="32">
        <v>0.93700787401574803</v>
      </c>
      <c r="BT114" s="32">
        <v>0.89107611548556431</v>
      </c>
      <c r="BU114" s="32">
        <v>0.93569553805774275</v>
      </c>
      <c r="BV114" s="32">
        <v>0.93175853018372701</v>
      </c>
      <c r="BW114" s="32">
        <v>0.92519685039370081</v>
      </c>
      <c r="BX114" s="32">
        <v>0.90026246719160108</v>
      </c>
      <c r="BY114" s="32">
        <v>0.90813648293963256</v>
      </c>
      <c r="BZ114" s="32">
        <v>0.91844769403824522</v>
      </c>
      <c r="CA114" s="32">
        <v>0.90551181102362199</v>
      </c>
      <c r="CB114" s="32">
        <v>0.95931758530183731</v>
      </c>
      <c r="CC114" s="32">
        <v>0.91338582677165359</v>
      </c>
      <c r="CD114" s="32">
        <v>0.91994750656167978</v>
      </c>
      <c r="CE114" s="32">
        <v>0.9461942257217848</v>
      </c>
      <c r="CF114" s="32">
        <v>0.95538057742782156</v>
      </c>
      <c r="CG114" s="32">
        <v>0.95144356955380582</v>
      </c>
      <c r="CH114" s="32">
        <v>0.93588301462317214</v>
      </c>
      <c r="CI114" s="32">
        <v>0.91732283464566933</v>
      </c>
      <c r="CJ114" s="32">
        <v>0.93175853018372701</v>
      </c>
      <c r="CK114" s="32">
        <v>0.93044619422572183</v>
      </c>
      <c r="CL114" s="32">
        <v>0.90419947506561682</v>
      </c>
      <c r="CM114" s="32">
        <v>0.93832020997375332</v>
      </c>
      <c r="CN114" s="32">
        <v>0.95931758530183731</v>
      </c>
      <c r="CO114" s="32">
        <v>0.94750656167978997</v>
      </c>
      <c r="CP114" s="32">
        <v>0.93269591301087362</v>
      </c>
      <c r="CQ114" s="32">
        <v>0.90682414698162728</v>
      </c>
      <c r="CR114" s="32">
        <v>0.93832020997375332</v>
      </c>
      <c r="CS114" s="32">
        <v>0.91338582677165359</v>
      </c>
      <c r="CT114" s="32">
        <v>0.89501312335958005</v>
      </c>
      <c r="CU114" s="32">
        <v>0.92913385826771655</v>
      </c>
      <c r="CV114" s="32">
        <v>0.94750656167978997</v>
      </c>
      <c r="CW114" s="32">
        <v>0.93438320209973758</v>
      </c>
      <c r="CX114" s="32">
        <v>0.92350956130483675</v>
      </c>
      <c r="CY114" s="32">
        <v>0.9120734908136483</v>
      </c>
      <c r="CZ114" s="32">
        <v>0.93307086614173229</v>
      </c>
      <c r="DA114" s="32">
        <v>0.90813648293963256</v>
      </c>
      <c r="DB114" s="32">
        <v>0.90944881889763785</v>
      </c>
      <c r="DC114" s="32">
        <v>0.93175853018372701</v>
      </c>
      <c r="DD114" s="32">
        <v>0.92519685039370081</v>
      </c>
      <c r="DE114" s="32">
        <v>0.93175853018372701</v>
      </c>
      <c r="DF114" s="32">
        <v>0.92163479565054374</v>
      </c>
      <c r="DG114" s="32">
        <v>0.91469816272965876</v>
      </c>
      <c r="DH114" s="32">
        <v>0.93044619422572183</v>
      </c>
      <c r="DI114" s="32">
        <v>0.91732283464566933</v>
      </c>
      <c r="DJ114" s="32">
        <v>0.94356955380577423</v>
      </c>
      <c r="DK114" s="32">
        <v>0.9120734908136483</v>
      </c>
      <c r="DL114" s="32">
        <v>0.93307086614173229</v>
      </c>
      <c r="DM114" s="32">
        <v>0.92125984251968507</v>
      </c>
      <c r="DN114" s="32">
        <v>0.92463442069741286</v>
      </c>
      <c r="DO114" s="32">
        <v>0.89370078740157477</v>
      </c>
      <c r="DP114" s="32">
        <v>0.9461942257217848</v>
      </c>
      <c r="DQ114" s="32">
        <v>0.90288713910761154</v>
      </c>
      <c r="DR114" s="32">
        <v>0.89107611548556431</v>
      </c>
      <c r="DS114" s="32">
        <v>0.92650918635170598</v>
      </c>
      <c r="DT114" s="32">
        <v>0.95931758530183731</v>
      </c>
      <c r="DU114" s="32">
        <v>0.93175853018372701</v>
      </c>
      <c r="DV114" s="32">
        <v>0.92163479565054363</v>
      </c>
      <c r="DW114" s="32">
        <v>0.93307086614173229</v>
      </c>
      <c r="DX114" s="32">
        <v>0.92125984251968507</v>
      </c>
      <c r="DY114" s="32">
        <v>0.93307086614173229</v>
      </c>
      <c r="DZ114" s="32">
        <v>0.93175853018372701</v>
      </c>
      <c r="EA114" s="32">
        <v>0.90157480314960625</v>
      </c>
      <c r="EB114" s="32">
        <v>0.92913385826771655</v>
      </c>
      <c r="EC114" s="32">
        <v>0.91601049868766404</v>
      </c>
      <c r="ED114" s="32">
        <v>0.92369703787026636</v>
      </c>
      <c r="EE114" s="32">
        <v>0.9186351706036745</v>
      </c>
      <c r="EF114" s="32">
        <v>0.93175853018372701</v>
      </c>
      <c r="EG114" s="32">
        <v>0.92519685039370081</v>
      </c>
      <c r="EH114" s="32">
        <v>0.93569553805774275</v>
      </c>
      <c r="EI114" s="32">
        <v>0.93832020997375332</v>
      </c>
      <c r="EJ114" s="32">
        <v>0.92782152230971127</v>
      </c>
      <c r="EK114" s="32">
        <v>0.93832020997375332</v>
      </c>
      <c r="EL114" s="32">
        <v>0.93082114735658039</v>
      </c>
    </row>
    <row r="115" spans="38:142" x14ac:dyDescent="0.25">
      <c r="AL115" s="19" t="s">
        <v>164</v>
      </c>
      <c r="AM115" s="32">
        <v>0.92553191489361697</v>
      </c>
      <c r="AN115" s="32">
        <v>0.96505376344086025</v>
      </c>
      <c r="AO115" s="32">
        <v>0.90159574468085102</v>
      </c>
      <c r="AP115" s="32">
        <v>0.95442359249329756</v>
      </c>
      <c r="AQ115" s="32">
        <v>0.95174262734584447</v>
      </c>
      <c r="AR115" s="32">
        <v>0.96524064171122992</v>
      </c>
      <c r="AS115" s="32">
        <v>0.96524064171122992</v>
      </c>
      <c r="AT115" s="32">
        <v>0.9469755608967042</v>
      </c>
      <c r="AU115" s="32">
        <v>0.93169398907103829</v>
      </c>
      <c r="AV115" s="32">
        <v>0.96266666666666667</v>
      </c>
      <c r="AW115" s="32">
        <v>0.92473118279569888</v>
      </c>
      <c r="AX115" s="32">
        <v>0.9623655913978495</v>
      </c>
      <c r="AY115" s="32">
        <v>0.95628415300546443</v>
      </c>
      <c r="AZ115" s="32">
        <v>0.95710455764075064</v>
      </c>
      <c r="BA115" s="32">
        <v>0.967741935483871</v>
      </c>
      <c r="BB115" s="32">
        <v>0.95179829658019144</v>
      </c>
      <c r="BC115" s="32">
        <v>0.94708994708994709</v>
      </c>
      <c r="BD115" s="32">
        <v>0.95923913043478259</v>
      </c>
      <c r="BE115" s="32">
        <v>0.93963254593175849</v>
      </c>
      <c r="BF115" s="32">
        <v>0.94225721784776906</v>
      </c>
      <c r="BG115" s="32">
        <v>0.96560846560846558</v>
      </c>
      <c r="BH115" s="32">
        <v>0.96153846153846156</v>
      </c>
      <c r="BI115" s="32">
        <v>0.94892473118279574</v>
      </c>
      <c r="BJ115" s="32">
        <v>0.95204149994771126</v>
      </c>
      <c r="BK115" s="32">
        <v>0.95380434782608692</v>
      </c>
      <c r="BL115" s="32">
        <v>0.91847826086956519</v>
      </c>
      <c r="BM115" s="32">
        <v>0.94708994708994709</v>
      </c>
      <c r="BN115" s="32">
        <v>0.97089947089947093</v>
      </c>
      <c r="BO115" s="32">
        <v>0.94166666666666665</v>
      </c>
      <c r="BP115" s="32">
        <v>0.850828729281768</v>
      </c>
      <c r="BQ115" s="32">
        <v>0.87431693989071035</v>
      </c>
      <c r="BR115" s="32">
        <v>0.922440623217745</v>
      </c>
      <c r="BS115" s="32">
        <v>0.93246753246753245</v>
      </c>
      <c r="BT115" s="32">
        <v>0.95336787564766834</v>
      </c>
      <c r="BU115" s="32">
        <v>0.94285714285714284</v>
      </c>
      <c r="BV115" s="32">
        <v>0.94041450777202074</v>
      </c>
      <c r="BW115" s="32">
        <v>0.95811518324607325</v>
      </c>
      <c r="BX115" s="32">
        <v>0.92051282051282046</v>
      </c>
      <c r="BY115" s="32">
        <v>0.94102564102564101</v>
      </c>
      <c r="BZ115" s="32">
        <v>0.94125152907555709</v>
      </c>
      <c r="CA115" s="32">
        <v>0.9397260273972603</v>
      </c>
      <c r="CB115" s="32">
        <v>0.95419847328244278</v>
      </c>
      <c r="CC115" s="32">
        <v>0.91899441340782118</v>
      </c>
      <c r="CD115" s="32">
        <v>0.93922651933701662</v>
      </c>
      <c r="CE115" s="32">
        <v>0.9526462395543176</v>
      </c>
      <c r="CF115" s="32">
        <v>0.95303867403314912</v>
      </c>
      <c r="CG115" s="32">
        <v>0.94555873925501432</v>
      </c>
      <c r="CH115" s="32">
        <v>0.94334129803814615</v>
      </c>
      <c r="CI115" s="32">
        <v>0.97662337662337662</v>
      </c>
      <c r="CJ115" s="32">
        <v>0.93076923076923079</v>
      </c>
      <c r="CK115" s="32">
        <v>0.96354166666666663</v>
      </c>
      <c r="CL115" s="32">
        <v>0.94358974358974357</v>
      </c>
      <c r="CM115" s="32">
        <v>0.94270833333333337</v>
      </c>
      <c r="CN115" s="32">
        <v>0.93622448979591832</v>
      </c>
      <c r="CO115" s="32">
        <v>0.95833333333333337</v>
      </c>
      <c r="CP115" s="32">
        <v>0.95025573915880035</v>
      </c>
      <c r="CQ115" s="32">
        <v>0.93798449612403101</v>
      </c>
      <c r="CR115" s="32">
        <v>0.95907928388746799</v>
      </c>
      <c r="CS115" s="32">
        <v>0.92030848329048842</v>
      </c>
      <c r="CT115" s="32">
        <v>0.9538461538461539</v>
      </c>
      <c r="CU115" s="32">
        <v>0.96410256410256412</v>
      </c>
      <c r="CV115" s="32">
        <v>0.96391752577319589</v>
      </c>
      <c r="CW115" s="32">
        <v>0.96192893401015234</v>
      </c>
      <c r="CX115" s="32">
        <v>0.95159534871915064</v>
      </c>
      <c r="CY115" s="32">
        <v>0.97215189873417718</v>
      </c>
      <c r="CZ115" s="32">
        <v>0.96923076923076923</v>
      </c>
      <c r="DA115" s="32">
        <v>0.96683673469387754</v>
      </c>
      <c r="DB115" s="32">
        <v>0.97395833333333337</v>
      </c>
      <c r="DC115" s="32">
        <v>0.96192893401015234</v>
      </c>
      <c r="DD115" s="32">
        <v>0.97704081632653061</v>
      </c>
      <c r="DE115" s="32">
        <v>0.97959183673469385</v>
      </c>
      <c r="DF115" s="32">
        <v>0.97153418900907629</v>
      </c>
      <c r="DG115" s="32">
        <v>0.90931989924433254</v>
      </c>
      <c r="DH115" s="32">
        <v>0.95956873315363878</v>
      </c>
      <c r="DI115" s="32">
        <v>0.9242424242424242</v>
      </c>
      <c r="DJ115" s="32">
        <v>0.96741854636591473</v>
      </c>
      <c r="DK115" s="32">
        <v>0.94472361809045224</v>
      </c>
      <c r="DL115" s="32">
        <v>0.95939086294416243</v>
      </c>
      <c r="DM115" s="32">
        <v>0.94573643410852715</v>
      </c>
      <c r="DN115" s="32">
        <v>0.94434293116420753</v>
      </c>
      <c r="DO115" s="32">
        <v>0.92388451443569553</v>
      </c>
      <c r="DP115" s="32">
        <v>0.97989949748743721</v>
      </c>
      <c r="DQ115" s="32">
        <v>0.8756613756613757</v>
      </c>
      <c r="DR115" s="32">
        <v>0.96605744125326376</v>
      </c>
      <c r="DS115" s="32">
        <v>0.93421052631578949</v>
      </c>
      <c r="DT115" s="32">
        <v>0.95792079207920788</v>
      </c>
      <c r="DU115" s="32">
        <v>0.9356435643564357</v>
      </c>
      <c r="DV115" s="32">
        <v>0.93903967308417202</v>
      </c>
      <c r="DW115" s="32">
        <v>0.91516709511568128</v>
      </c>
      <c r="DX115" s="32">
        <v>0.95641025641025645</v>
      </c>
      <c r="DY115" s="32">
        <v>0.92307692307692313</v>
      </c>
      <c r="DZ115" s="32">
        <v>0.96410256410256412</v>
      </c>
      <c r="EA115" s="32">
        <v>0.93846153846153846</v>
      </c>
      <c r="EB115" s="32">
        <v>0.95641025641025645</v>
      </c>
      <c r="EC115" s="32">
        <v>0.96410256410256412</v>
      </c>
      <c r="ED115" s="32">
        <v>0.9453901710971121</v>
      </c>
      <c r="EE115" s="32">
        <v>0.90025575447570327</v>
      </c>
      <c r="EF115" s="32">
        <v>0.97</v>
      </c>
      <c r="EG115" s="32">
        <v>0.93333333333333335</v>
      </c>
      <c r="EH115" s="32">
        <v>0.9386189258312021</v>
      </c>
      <c r="EI115" s="32">
        <v>0.93606138107416881</v>
      </c>
      <c r="EJ115" s="32">
        <v>0.97029702970297027</v>
      </c>
      <c r="EK115" s="32">
        <v>0.94044665012406947</v>
      </c>
      <c r="EL115" s="32">
        <v>0.94128758207734964</v>
      </c>
    </row>
    <row r="116" spans="38:142" x14ac:dyDescent="0.25">
      <c r="AL116" s="19" t="s">
        <v>165</v>
      </c>
      <c r="AM116" s="32">
        <v>0.93936170212765957</v>
      </c>
      <c r="AN116" s="32">
        <v>0.96265560165975106</v>
      </c>
      <c r="AO116" s="32">
        <v>0.93763213530655387</v>
      </c>
      <c r="AP116" s="32">
        <v>0.9522821576763485</v>
      </c>
      <c r="AQ116" s="32">
        <v>0.95168067226890751</v>
      </c>
      <c r="AR116" s="32">
        <v>0.96121593291404617</v>
      </c>
      <c r="AS116" s="32">
        <v>0.94874476987447698</v>
      </c>
      <c r="AT116" s="32">
        <v>0.95051042454682066</v>
      </c>
      <c r="AU116" s="32">
        <v>0.94747899159663862</v>
      </c>
      <c r="AV116" s="32">
        <v>0.9504643962848297</v>
      </c>
      <c r="AW116" s="32">
        <v>0.96238244514106586</v>
      </c>
      <c r="AX116" s="32">
        <v>0.95720250521920669</v>
      </c>
      <c r="AY116" s="32">
        <v>0.95837669094693023</v>
      </c>
      <c r="AZ116" s="32">
        <v>0.95346432264736303</v>
      </c>
      <c r="BA116" s="32">
        <v>0.96476683937823837</v>
      </c>
      <c r="BB116" s="32">
        <v>0.95630517017346761</v>
      </c>
      <c r="BC116" s="32">
        <v>0.94951664876476904</v>
      </c>
      <c r="BD116" s="32">
        <v>0.96721311475409832</v>
      </c>
      <c r="BE116" s="32">
        <v>0.94888178913738019</v>
      </c>
      <c r="BF116" s="32">
        <v>0.95005313496280552</v>
      </c>
      <c r="BG116" s="32">
        <v>0.95846313603322952</v>
      </c>
      <c r="BH116" s="32">
        <v>0.9464469618949537</v>
      </c>
      <c r="BI116" s="32">
        <v>0.94178794178794178</v>
      </c>
      <c r="BJ116" s="32">
        <v>0.95176610390502536</v>
      </c>
      <c r="BK116" s="32">
        <v>0.95405982905982911</v>
      </c>
      <c r="BL116" s="32">
        <v>0.93644067796610164</v>
      </c>
      <c r="BM116" s="32">
        <v>0.94608879492600417</v>
      </c>
      <c r="BN116" s="32">
        <v>0.96300102774922913</v>
      </c>
      <c r="BO116" s="32">
        <v>0.95080213903743316</v>
      </c>
      <c r="BP116" s="32">
        <v>0.86881720430107523</v>
      </c>
      <c r="BQ116" s="32">
        <v>0.91657754010695192</v>
      </c>
      <c r="BR116" s="32">
        <v>0.93368388759237508</v>
      </c>
      <c r="BS116" s="32">
        <v>0.96307692307692305</v>
      </c>
      <c r="BT116" s="32">
        <v>0.96701030927835052</v>
      </c>
      <c r="BU116" s="32">
        <v>0.94250513347022591</v>
      </c>
      <c r="BV116" s="32">
        <v>0.96004098360655743</v>
      </c>
      <c r="BW116" s="32">
        <v>0.96008188331627431</v>
      </c>
      <c r="BX116" s="32">
        <v>0.95157894736842108</v>
      </c>
      <c r="BY116" s="32">
        <v>0.96767466110531808</v>
      </c>
      <c r="BZ116" s="32">
        <v>0.9588526916031529</v>
      </c>
      <c r="CA116" s="32">
        <v>0.94147843942505138</v>
      </c>
      <c r="CB116" s="32">
        <v>0.97145769622833844</v>
      </c>
      <c r="CC116" s="32">
        <v>0.93737166324435317</v>
      </c>
      <c r="CD116" s="32">
        <v>0.93634496919917864</v>
      </c>
      <c r="CE116" s="32">
        <v>0.96315250767656091</v>
      </c>
      <c r="CF116" s="32">
        <v>0.96012269938650308</v>
      </c>
      <c r="CG116" s="32">
        <v>0.96303901437371664</v>
      </c>
      <c r="CH116" s="32">
        <v>0.95328099850481463</v>
      </c>
      <c r="CI116" s="32">
        <v>0.87063655030800824</v>
      </c>
      <c r="CJ116" s="32">
        <v>0.95204081632653059</v>
      </c>
      <c r="CK116" s="32">
        <v>0.90451745379876791</v>
      </c>
      <c r="CL116" s="32">
        <v>0.9229979466119097</v>
      </c>
      <c r="CM116" s="32">
        <v>0.91067761806981518</v>
      </c>
      <c r="CN116" s="32">
        <v>0.93326488706365507</v>
      </c>
      <c r="CO116" s="32">
        <v>0.93018480492813138</v>
      </c>
      <c r="CP116" s="32">
        <v>0.9177600110152595</v>
      </c>
      <c r="CQ116" s="32">
        <v>0.90451745379876791</v>
      </c>
      <c r="CR116" s="32">
        <v>0.93641025641025644</v>
      </c>
      <c r="CS116" s="32">
        <v>0.92094455852156054</v>
      </c>
      <c r="CT116" s="32">
        <v>0.95174537987679675</v>
      </c>
      <c r="CU116" s="32">
        <v>0.93223819301848054</v>
      </c>
      <c r="CV116" s="32">
        <v>0.94605809128630702</v>
      </c>
      <c r="CW116" s="32">
        <v>0.9320288362512873</v>
      </c>
      <c r="CX116" s="32">
        <v>0.93199182416620796</v>
      </c>
      <c r="CY116" s="32">
        <v>0.94661190965092401</v>
      </c>
      <c r="CZ116" s="32">
        <v>0.95781893004115226</v>
      </c>
      <c r="DA116" s="32">
        <v>0.93942505133470222</v>
      </c>
      <c r="DB116" s="32">
        <v>0.9383983572895277</v>
      </c>
      <c r="DC116" s="32">
        <v>0.93531827515400412</v>
      </c>
      <c r="DD116" s="32">
        <v>0.96476683937823837</v>
      </c>
      <c r="DE116" s="32">
        <v>0.94882292732855678</v>
      </c>
      <c r="DF116" s="32">
        <v>0.9473088985967294</v>
      </c>
      <c r="DG116" s="32">
        <v>0.93634496919917864</v>
      </c>
      <c r="DH116" s="32">
        <v>0.95585215605749485</v>
      </c>
      <c r="DI116" s="32">
        <v>0.9271047227926078</v>
      </c>
      <c r="DJ116" s="32">
        <v>0.93531827515400412</v>
      </c>
      <c r="DK116" s="32">
        <v>0.93531827515400412</v>
      </c>
      <c r="DL116" s="32">
        <v>0.9383983572895277</v>
      </c>
      <c r="DM116" s="32">
        <v>0.92197125256673507</v>
      </c>
      <c r="DN116" s="32">
        <v>0.93575828688765028</v>
      </c>
      <c r="DO116" s="32">
        <v>0.89322381930184802</v>
      </c>
      <c r="DP116" s="32">
        <v>0.94564102564102559</v>
      </c>
      <c r="DQ116" s="32">
        <v>0.91273100616016423</v>
      </c>
      <c r="DR116" s="32">
        <v>0.9383983572895277</v>
      </c>
      <c r="DS116" s="32">
        <v>0.9229979466119097</v>
      </c>
      <c r="DT116" s="32">
        <v>0.95585215605749485</v>
      </c>
      <c r="DU116" s="32">
        <v>0.94969199178644759</v>
      </c>
      <c r="DV116" s="32">
        <v>0.93121947183548825</v>
      </c>
      <c r="DW116" s="32">
        <v>0.91581108829568791</v>
      </c>
      <c r="DX116" s="32">
        <v>0.93223819301848054</v>
      </c>
      <c r="DY116" s="32">
        <v>0.92505133470225875</v>
      </c>
      <c r="DZ116" s="32">
        <v>0.9271047227926078</v>
      </c>
      <c r="EA116" s="32">
        <v>0.92607802874743328</v>
      </c>
      <c r="EB116" s="32">
        <v>0.93121149897330591</v>
      </c>
      <c r="EC116" s="32">
        <v>0.90451745379876791</v>
      </c>
      <c r="ED116" s="32">
        <v>0.92314461718979168</v>
      </c>
      <c r="EE116" s="32">
        <v>0.94661190965092401</v>
      </c>
      <c r="EF116" s="32">
        <v>0.93942505133470222</v>
      </c>
      <c r="EG116" s="32">
        <v>0.93326488706365507</v>
      </c>
      <c r="EH116" s="32">
        <v>0.92505133470225875</v>
      </c>
      <c r="EI116" s="32">
        <v>0.94661190965092401</v>
      </c>
      <c r="EJ116" s="32">
        <v>0.94045174537987675</v>
      </c>
      <c r="EK116" s="32">
        <v>0.95071868583162222</v>
      </c>
      <c r="EL116" s="32">
        <v>0.94030507480199466</v>
      </c>
    </row>
    <row r="117" spans="38:142" x14ac:dyDescent="0.25">
      <c r="AL117" s="19" t="s">
        <v>166</v>
      </c>
      <c r="AM117" s="32">
        <v>0.84583901773533421</v>
      </c>
      <c r="AN117" s="32">
        <v>0.94068965517241376</v>
      </c>
      <c r="AO117" s="32">
        <v>0.86856368563685638</v>
      </c>
      <c r="AP117" s="32">
        <v>0.86956521739130432</v>
      </c>
      <c r="AQ117" s="32">
        <v>0.89851150202976993</v>
      </c>
      <c r="AR117" s="32">
        <v>0.90431266846361191</v>
      </c>
      <c r="AS117" s="32">
        <v>0.91891891891891897</v>
      </c>
      <c r="AT117" s="32">
        <v>0.89234295219260129</v>
      </c>
      <c r="AU117" s="32">
        <v>0.89622641509433965</v>
      </c>
      <c r="AV117" s="32">
        <v>0.88858695652173914</v>
      </c>
      <c r="AW117" s="32">
        <v>0.75761772853185594</v>
      </c>
      <c r="AX117" s="32">
        <v>0.86192468619246865</v>
      </c>
      <c r="AY117" s="32">
        <v>0.89218328840970351</v>
      </c>
      <c r="AZ117" s="32">
        <v>0.85810810810810811</v>
      </c>
      <c r="BA117" s="32">
        <v>0.86021505376344087</v>
      </c>
      <c r="BB117" s="32">
        <v>0.85926603380309363</v>
      </c>
      <c r="BC117" s="32">
        <v>0.81066666666666665</v>
      </c>
      <c r="BD117" s="32">
        <v>0.87582562747688242</v>
      </c>
      <c r="BE117" s="32">
        <v>0.75903614457831325</v>
      </c>
      <c r="BF117" s="32">
        <v>0.73860589812332444</v>
      </c>
      <c r="BG117" s="32">
        <v>0.84420772303595204</v>
      </c>
      <c r="BH117" s="32">
        <v>0.87044534412955465</v>
      </c>
      <c r="BI117" s="32">
        <v>0.85922974767596283</v>
      </c>
      <c r="BJ117" s="32">
        <v>0.82257387881237953</v>
      </c>
      <c r="BK117" s="32">
        <v>0.67617689015691873</v>
      </c>
      <c r="BL117" s="32">
        <v>0.72841225626740946</v>
      </c>
      <c r="BM117" s="32">
        <v>0.64806866952789699</v>
      </c>
      <c r="BN117" s="32">
        <v>0.70461095100864557</v>
      </c>
      <c r="BO117" s="32">
        <v>0.64245014245014243</v>
      </c>
      <c r="BP117" s="32">
        <v>0.59857142857142853</v>
      </c>
      <c r="BQ117" s="32">
        <v>0.59942775393419168</v>
      </c>
      <c r="BR117" s="32">
        <v>0.65681687027380475</v>
      </c>
      <c r="BS117" s="32">
        <v>0.74335106382978722</v>
      </c>
      <c r="BT117" s="32">
        <v>0.79015918958031839</v>
      </c>
      <c r="BU117" s="32">
        <v>0.75378266850068776</v>
      </c>
      <c r="BV117" s="32">
        <v>0.79558011049723754</v>
      </c>
      <c r="BW117" s="32">
        <v>0.78504672897196259</v>
      </c>
      <c r="BX117" s="32">
        <v>0.72585227272727271</v>
      </c>
      <c r="BY117" s="32">
        <v>0.75</v>
      </c>
      <c r="BZ117" s="32">
        <v>0.7633960048724665</v>
      </c>
      <c r="CA117" s="32">
        <v>0.81134564643799467</v>
      </c>
      <c r="CB117" s="32">
        <v>0.83444592790387184</v>
      </c>
      <c r="CC117" s="32">
        <v>0.76312247644683717</v>
      </c>
      <c r="CD117" s="32">
        <v>0.76533333333333331</v>
      </c>
      <c r="CE117" s="32">
        <v>0.86799999999999999</v>
      </c>
      <c r="CF117" s="32">
        <v>0.8236842105263158</v>
      </c>
      <c r="CG117" s="32">
        <v>0.82228116710875332</v>
      </c>
      <c r="CH117" s="32">
        <v>0.81260182310815809</v>
      </c>
      <c r="CI117" s="32">
        <v>0.83224115334207083</v>
      </c>
      <c r="CJ117" s="32">
        <v>0.8488063660477454</v>
      </c>
      <c r="CK117" s="32">
        <v>0.83378378378378382</v>
      </c>
      <c r="CL117" s="32">
        <v>0.84836065573770492</v>
      </c>
      <c r="CM117" s="32">
        <v>0.8844621513944223</v>
      </c>
      <c r="CN117" s="32">
        <v>0.88476821192052979</v>
      </c>
      <c r="CO117" s="32">
        <v>0.86675461741424797</v>
      </c>
      <c r="CP117" s="32">
        <v>0.85702527709150089</v>
      </c>
      <c r="CQ117" s="32">
        <v>0.84872824631860777</v>
      </c>
      <c r="CR117" s="32">
        <v>0.90813648293963256</v>
      </c>
      <c r="CS117" s="32">
        <v>0.8168449197860963</v>
      </c>
      <c r="CT117" s="32">
        <v>0.85615491009681877</v>
      </c>
      <c r="CU117" s="32">
        <v>0.91281373844121527</v>
      </c>
      <c r="CV117" s="32">
        <v>0.88289473684210529</v>
      </c>
      <c r="CW117" s="32">
        <v>0.91040843214756262</v>
      </c>
      <c r="CX117" s="32">
        <v>0.87656878093886259</v>
      </c>
      <c r="CY117" s="32">
        <v>0.87169312169312174</v>
      </c>
      <c r="CZ117" s="32">
        <v>0.87850467289719625</v>
      </c>
      <c r="DA117" s="32">
        <v>0.87396121883656508</v>
      </c>
      <c r="DB117" s="32">
        <v>0.89750692520775621</v>
      </c>
      <c r="DC117" s="32">
        <v>0.93518518518518523</v>
      </c>
      <c r="DD117" s="32">
        <v>0.9018817204301075</v>
      </c>
      <c r="DE117" s="32">
        <v>0.91223404255319152</v>
      </c>
      <c r="DF117" s="32">
        <v>0.89585241240044622</v>
      </c>
      <c r="DG117" s="32">
        <v>0.85771812080536913</v>
      </c>
      <c r="DH117" s="32">
        <v>0.91390728476821192</v>
      </c>
      <c r="DI117" s="32">
        <v>0.84752747252747251</v>
      </c>
      <c r="DJ117" s="32">
        <v>0.85497237569060769</v>
      </c>
      <c r="DK117" s="32">
        <v>0.88798920377867752</v>
      </c>
      <c r="DL117" s="32">
        <v>0.90266666666666662</v>
      </c>
      <c r="DM117" s="32">
        <v>0.85618279569892475</v>
      </c>
      <c r="DN117" s="32">
        <v>0.87442341713370442</v>
      </c>
      <c r="DO117" s="32">
        <v>0.8582995951417004</v>
      </c>
      <c r="DP117" s="32">
        <v>0.88053691275167789</v>
      </c>
      <c r="DQ117" s="32">
        <v>0.86002691790040375</v>
      </c>
      <c r="DR117" s="32">
        <v>0.89552238805970152</v>
      </c>
      <c r="DS117" s="32">
        <v>0.91066666666666662</v>
      </c>
      <c r="DT117" s="32">
        <v>0.89381720430107525</v>
      </c>
      <c r="DU117" s="32">
        <v>0.91211717709720375</v>
      </c>
      <c r="DV117" s="32">
        <v>0.88728383741691841</v>
      </c>
      <c r="DW117" s="32">
        <v>0.93465909090909094</v>
      </c>
      <c r="DX117" s="32">
        <v>0.94575799721835885</v>
      </c>
      <c r="DY117" s="32">
        <v>0.92086330935251803</v>
      </c>
      <c r="DZ117" s="32">
        <v>0.93208092485549132</v>
      </c>
      <c r="EA117" s="32">
        <v>0.95056497175141241</v>
      </c>
      <c r="EB117" s="32">
        <v>0.9438202247191011</v>
      </c>
      <c r="EC117" s="32">
        <v>0.9621318373071529</v>
      </c>
      <c r="ED117" s="32">
        <v>0.94141119373044646</v>
      </c>
      <c r="EE117" s="32">
        <v>0.91559370529327611</v>
      </c>
      <c r="EF117" s="32">
        <v>0.93191489361702129</v>
      </c>
      <c r="EG117" s="32">
        <v>0.91001451378809872</v>
      </c>
      <c r="EH117" s="32">
        <v>0.89840348330914366</v>
      </c>
      <c r="EI117" s="32">
        <v>0.95756718528995755</v>
      </c>
      <c r="EJ117" s="32">
        <v>0.95565092989985689</v>
      </c>
      <c r="EK117" s="32">
        <v>0.94491525423728817</v>
      </c>
      <c r="EL117" s="32">
        <v>0.93057999506209177</v>
      </c>
    </row>
    <row r="118" spans="38:142" x14ac:dyDescent="0.25">
      <c r="AL118" s="19" t="s">
        <v>167</v>
      </c>
      <c r="AM118" s="32">
        <v>0.94961571306575576</v>
      </c>
      <c r="AN118" s="32">
        <v>0.92632450331125826</v>
      </c>
      <c r="AO118" s="32">
        <v>0.96586178184845961</v>
      </c>
      <c r="AP118" s="32">
        <v>0.95670274771024144</v>
      </c>
      <c r="AQ118" s="32">
        <v>0.95533498759305213</v>
      </c>
      <c r="AR118" s="32">
        <v>0.95953757225433522</v>
      </c>
      <c r="AS118" s="32">
        <v>0.94933554817275745</v>
      </c>
      <c r="AT118" s="32">
        <v>0.95181612199369425</v>
      </c>
      <c r="AU118" s="32">
        <v>0.94844517184942712</v>
      </c>
      <c r="AV118" s="32">
        <v>0.97603305785123962</v>
      </c>
      <c r="AW118" s="32">
        <v>0.95218466611706509</v>
      </c>
      <c r="AX118" s="32">
        <v>0.94888705688375929</v>
      </c>
      <c r="AY118" s="32">
        <v>0.9868959868959869</v>
      </c>
      <c r="AZ118" s="32">
        <v>0.96952224052718283</v>
      </c>
      <c r="BA118" s="32">
        <v>0.96726677577741405</v>
      </c>
      <c r="BB118" s="32">
        <v>0.96417642227172495</v>
      </c>
      <c r="BC118" s="32">
        <v>0.95443247721623858</v>
      </c>
      <c r="BD118" s="32">
        <v>0.97126436781609193</v>
      </c>
      <c r="BE118" s="32">
        <v>0.92792046396023198</v>
      </c>
      <c r="BF118" s="32">
        <v>0.94004995836802663</v>
      </c>
      <c r="BG118" s="32">
        <v>0.97126436781609193</v>
      </c>
      <c r="BH118" s="32">
        <v>0.97710547833197059</v>
      </c>
      <c r="BI118" s="32">
        <v>0.95980311730926993</v>
      </c>
      <c r="BJ118" s="32">
        <v>0.95740574725970318</v>
      </c>
      <c r="BK118" s="32">
        <v>0.93178036605657233</v>
      </c>
      <c r="BL118" s="32">
        <v>0.90572390572390571</v>
      </c>
      <c r="BM118" s="32">
        <v>0.96188898094449049</v>
      </c>
      <c r="BN118" s="32">
        <v>0.97438016528925619</v>
      </c>
      <c r="BO118" s="32">
        <v>0.8908629441624365</v>
      </c>
      <c r="BP118" s="32">
        <v>0.83164128595600673</v>
      </c>
      <c r="BQ118" s="32">
        <v>0.83587140439932317</v>
      </c>
      <c r="BR118" s="32">
        <v>0.90459272179028438</v>
      </c>
      <c r="BS118" s="32">
        <v>0.96163469557964976</v>
      </c>
      <c r="BT118" s="32">
        <v>0.96296296296296291</v>
      </c>
      <c r="BU118" s="32">
        <v>0.97698209718670082</v>
      </c>
      <c r="BV118" s="32">
        <v>0.98006644518272423</v>
      </c>
      <c r="BW118" s="32">
        <v>0.96150696150696147</v>
      </c>
      <c r="BX118" s="32">
        <v>0.91442542787286063</v>
      </c>
      <c r="BY118" s="32">
        <v>0.94348894348894352</v>
      </c>
      <c r="BZ118" s="32">
        <v>0.95729536196868625</v>
      </c>
      <c r="CA118" s="32">
        <v>0.95424836601307195</v>
      </c>
      <c r="CB118" s="32">
        <v>0.97056349873843561</v>
      </c>
      <c r="CC118" s="32">
        <v>0.95723684210526316</v>
      </c>
      <c r="CD118" s="32">
        <v>0.92547092547092547</v>
      </c>
      <c r="CE118" s="32">
        <v>0.98759305210918114</v>
      </c>
      <c r="CF118" s="32">
        <v>0.972568578553616</v>
      </c>
      <c r="CG118" s="32">
        <v>0.98117839607201307</v>
      </c>
      <c r="CH118" s="32">
        <v>0.96412280843750087</v>
      </c>
      <c r="CI118" s="32">
        <v>0.91374407582938388</v>
      </c>
      <c r="CJ118" s="32">
        <v>0.96594684385382057</v>
      </c>
      <c r="CK118" s="32">
        <v>0.90543071161048694</v>
      </c>
      <c r="CL118" s="32">
        <v>0.9463276836158192</v>
      </c>
      <c r="CM118" s="32">
        <v>0.94905660377358492</v>
      </c>
      <c r="CN118" s="32">
        <v>0.96933010492332528</v>
      </c>
      <c r="CO118" s="32">
        <v>0.95574387947269301</v>
      </c>
      <c r="CP118" s="32">
        <v>0.94365427186844475</v>
      </c>
      <c r="CQ118" s="32">
        <v>0.93181818181818177</v>
      </c>
      <c r="CR118" s="32">
        <v>0.96317280453257792</v>
      </c>
      <c r="CS118" s="32">
        <v>0.96303317535545019</v>
      </c>
      <c r="CT118" s="32">
        <v>0.96489563567362424</v>
      </c>
      <c r="CU118" s="32">
        <v>0.95184135977337114</v>
      </c>
      <c r="CV118" s="32">
        <v>0.95089707271010382</v>
      </c>
      <c r="CW118" s="32">
        <v>0.94250706880301605</v>
      </c>
      <c r="CX118" s="32">
        <v>0.95259504266661776</v>
      </c>
      <c r="CY118" s="32">
        <v>0.93408662900188322</v>
      </c>
      <c r="CZ118" s="32">
        <v>0.97271872060206965</v>
      </c>
      <c r="DA118" s="32">
        <v>0.95094339622641511</v>
      </c>
      <c r="DB118" s="32">
        <v>0.9463276836158192</v>
      </c>
      <c r="DC118" s="32">
        <v>0.96056338028169019</v>
      </c>
      <c r="DD118" s="32">
        <v>0.96542056074766358</v>
      </c>
      <c r="DE118" s="32">
        <v>0.95300751879699253</v>
      </c>
      <c r="DF118" s="32">
        <v>0.9547239841817905</v>
      </c>
      <c r="DG118" s="32">
        <v>0.92452830188679247</v>
      </c>
      <c r="DH118" s="32">
        <v>0.94261523988711193</v>
      </c>
      <c r="DI118" s="32">
        <v>0.9178470254957507</v>
      </c>
      <c r="DJ118" s="32">
        <v>0.94701986754966883</v>
      </c>
      <c r="DK118" s="32">
        <v>0.9402277039848197</v>
      </c>
      <c r="DL118" s="32">
        <v>0.92680608365019013</v>
      </c>
      <c r="DM118" s="32">
        <v>0.91935483870967738</v>
      </c>
      <c r="DN118" s="32">
        <v>0.93119986588057291</v>
      </c>
      <c r="DO118" s="32">
        <v>0.92155009451795844</v>
      </c>
      <c r="DP118" s="32">
        <v>0.95305164319248825</v>
      </c>
      <c r="DQ118" s="32">
        <v>0.94190476190476191</v>
      </c>
      <c r="DR118" s="32">
        <v>0.94078319006685773</v>
      </c>
      <c r="DS118" s="32">
        <v>0.95202257761053621</v>
      </c>
      <c r="DT118" s="32">
        <v>0.91973559962228513</v>
      </c>
      <c r="DU118" s="32">
        <v>0.95488721804511278</v>
      </c>
      <c r="DV118" s="32">
        <v>0.94056215499428586</v>
      </c>
      <c r="DW118" s="32">
        <v>0.94428706326723322</v>
      </c>
      <c r="DX118" s="32">
        <v>0.97282099343955009</v>
      </c>
      <c r="DY118" s="32">
        <v>0.93979303857008467</v>
      </c>
      <c r="DZ118" s="32">
        <v>0.95098963242224321</v>
      </c>
      <c r="EA118" s="32">
        <v>0.96045197740112997</v>
      </c>
      <c r="EB118" s="32">
        <v>0.95305164319248825</v>
      </c>
      <c r="EC118" s="32">
        <v>0.95774647887323938</v>
      </c>
      <c r="ED118" s="32">
        <v>0.95416297530942418</v>
      </c>
      <c r="EE118" s="32">
        <v>0.9472196041470311</v>
      </c>
      <c r="EF118" s="32">
        <v>0.97419354838709682</v>
      </c>
      <c r="EG118" s="32">
        <v>0.92843691148775898</v>
      </c>
      <c r="EH118" s="32">
        <v>0.93879472693032018</v>
      </c>
      <c r="EI118" s="32">
        <v>0.95891690009337072</v>
      </c>
      <c r="EJ118" s="32">
        <v>0.97180451127819545</v>
      </c>
      <c r="EK118" s="32">
        <v>0.97563261480787256</v>
      </c>
      <c r="EL118" s="32">
        <v>0.95642840244737781</v>
      </c>
    </row>
    <row r="119" spans="38:142" x14ac:dyDescent="0.25">
      <c r="AL119" s="19" t="s">
        <v>168</v>
      </c>
      <c r="AM119" s="32">
        <v>0.95922570016474462</v>
      </c>
      <c r="AN119" s="32">
        <v>0.97427521437321352</v>
      </c>
      <c r="AO119" s="32">
        <v>0.94799834915394143</v>
      </c>
      <c r="AP119" s="32">
        <v>0.94795081967213113</v>
      </c>
      <c r="AQ119" s="32">
        <v>0.95670103092783509</v>
      </c>
      <c r="AR119" s="32">
        <v>0.99302421009437836</v>
      </c>
      <c r="AS119" s="32">
        <v>0.97038255861785272</v>
      </c>
      <c r="AT119" s="32">
        <v>0.96422255471487084</v>
      </c>
      <c r="AU119" s="32">
        <v>0.95024875621890548</v>
      </c>
      <c r="AV119" s="32">
        <v>0.96347968814115714</v>
      </c>
      <c r="AW119" s="32">
        <v>0.93988391376451075</v>
      </c>
      <c r="AX119" s="32">
        <v>0.95512556607657473</v>
      </c>
      <c r="AY119" s="32">
        <v>0.95814338997099047</v>
      </c>
      <c r="AZ119" s="32">
        <v>0.96536082474226803</v>
      </c>
      <c r="BA119" s="32">
        <v>0.95905707196029777</v>
      </c>
      <c r="BB119" s="32">
        <v>0.95589988726781472</v>
      </c>
      <c r="BC119" s="32">
        <v>0.94068851099128992</v>
      </c>
      <c r="BD119" s="32">
        <v>0.96424167694204688</v>
      </c>
      <c r="BE119" s="32">
        <v>0.93640897755610975</v>
      </c>
      <c r="BF119" s="32">
        <v>0.94529631164525485</v>
      </c>
      <c r="BG119" s="32">
        <v>0.9554639175257732</v>
      </c>
      <c r="BH119" s="32">
        <v>0.96138044371405096</v>
      </c>
      <c r="BI119" s="32">
        <v>0.96537510305028851</v>
      </c>
      <c r="BJ119" s="32">
        <v>0.95269356306068764</v>
      </c>
      <c r="BK119" s="32">
        <v>0.94246688741721851</v>
      </c>
      <c r="BL119" s="32">
        <v>0.96059726254666111</v>
      </c>
      <c r="BM119" s="32">
        <v>0.9482829954489036</v>
      </c>
      <c r="BN119" s="32">
        <v>0.96447529603919968</v>
      </c>
      <c r="BO119" s="32">
        <v>0.90939318370739819</v>
      </c>
      <c r="BP119" s="32">
        <v>0.92809642560266004</v>
      </c>
      <c r="BQ119" s="32">
        <v>0.87655860349127179</v>
      </c>
      <c r="BR119" s="32">
        <v>0.93283866489333034</v>
      </c>
      <c r="BS119" s="32">
        <v>0.99438727782974745</v>
      </c>
      <c r="BT119" s="32">
        <v>0.98289902280130292</v>
      </c>
      <c r="BU119" s="32">
        <v>0.99438727782974745</v>
      </c>
      <c r="BV119" s="32">
        <v>0.97920997920997921</v>
      </c>
      <c r="BW119" s="32">
        <v>0.97681041497152155</v>
      </c>
      <c r="BX119" s="32">
        <v>0.98325847284605961</v>
      </c>
      <c r="BY119" s="32">
        <v>0.97598697598697604</v>
      </c>
      <c r="BZ119" s="32">
        <v>0.98384848878219067</v>
      </c>
      <c r="CA119" s="32">
        <v>0.71708912510220768</v>
      </c>
      <c r="CB119" s="32">
        <v>0.99838514331853045</v>
      </c>
      <c r="CC119" s="32">
        <v>0.97628781684382671</v>
      </c>
      <c r="CD119" s="32">
        <v>0.98008939455505895</v>
      </c>
      <c r="CE119" s="32">
        <v>0.98697598697598699</v>
      </c>
      <c r="CF119" s="32">
        <v>0.99878296146044621</v>
      </c>
      <c r="CG119" s="32">
        <v>0.98903775883069422</v>
      </c>
      <c r="CH119" s="32">
        <v>0.9495211695838216</v>
      </c>
      <c r="CI119" s="32">
        <v>0.98573757131214346</v>
      </c>
      <c r="CJ119" s="32">
        <v>0.98985801217038538</v>
      </c>
      <c r="CK119" s="32">
        <v>0.97803091944670462</v>
      </c>
      <c r="CL119" s="32">
        <v>0.98419132549655453</v>
      </c>
      <c r="CM119" s="32">
        <v>0.99634888438133873</v>
      </c>
      <c r="CN119" s="32">
        <v>0.99390739236393177</v>
      </c>
      <c r="CO119" s="32">
        <v>0.99310903931901096</v>
      </c>
      <c r="CP119" s="32">
        <v>0.98874044921286708</v>
      </c>
      <c r="CQ119" s="32">
        <v>0.9889970376639865</v>
      </c>
      <c r="CR119" s="32">
        <v>0.98865018240778268</v>
      </c>
      <c r="CS119" s="32">
        <v>0.98095641134151501</v>
      </c>
      <c r="CT119" s="32">
        <v>0.98601398601398604</v>
      </c>
      <c r="CU119" s="32">
        <v>0.98860862489829127</v>
      </c>
      <c r="CV119" s="32">
        <v>0.98892534864643145</v>
      </c>
      <c r="CW119" s="32">
        <v>0.98985801217038538</v>
      </c>
      <c r="CX119" s="32">
        <v>0.98742994330605405</v>
      </c>
      <c r="CY119" s="32">
        <v>0.98121682319314008</v>
      </c>
      <c r="CZ119" s="32">
        <v>0.98728987289872894</v>
      </c>
      <c r="DA119" s="32">
        <v>0.97473512632436843</v>
      </c>
      <c r="DB119" s="32">
        <v>0.98125509372453135</v>
      </c>
      <c r="DC119" s="32">
        <v>0.98783910196445279</v>
      </c>
      <c r="DD119" s="32">
        <v>0.98503236245954695</v>
      </c>
      <c r="DE119" s="32">
        <v>0.98705501618122982</v>
      </c>
      <c r="DF119" s="32">
        <v>0.9834890566779998</v>
      </c>
      <c r="DG119" s="32">
        <v>0.98277276456111562</v>
      </c>
      <c r="DH119" s="32">
        <v>0.98739837398373986</v>
      </c>
      <c r="DI119" s="32">
        <v>0.97418032786885245</v>
      </c>
      <c r="DJ119" s="32">
        <v>0.9788014675907053</v>
      </c>
      <c r="DK119" s="32">
        <v>0.9832310838445808</v>
      </c>
      <c r="DL119" s="32">
        <v>0.98738298738298735</v>
      </c>
      <c r="DM119" s="32">
        <v>0.99102773246329523</v>
      </c>
      <c r="DN119" s="32">
        <v>0.9835421053850395</v>
      </c>
      <c r="DO119" s="32">
        <v>0.9545816733067729</v>
      </c>
      <c r="DP119" s="32">
        <v>0.97514262428687859</v>
      </c>
      <c r="DQ119" s="32">
        <v>0.94329896907216493</v>
      </c>
      <c r="DR119" s="32">
        <v>0.94567803330689926</v>
      </c>
      <c r="DS119" s="32">
        <v>0.95737051792828687</v>
      </c>
      <c r="DT119" s="32">
        <v>0.98612811097511222</v>
      </c>
      <c r="DU119" s="32">
        <v>0.99219712525667347</v>
      </c>
      <c r="DV119" s="32">
        <v>0.96491386487611275</v>
      </c>
      <c r="DW119" s="32">
        <v>0.94980079681274898</v>
      </c>
      <c r="DX119" s="32">
        <v>0.95836637589214912</v>
      </c>
      <c r="DY119" s="32">
        <v>0.94290245836637587</v>
      </c>
      <c r="DZ119" s="32">
        <v>0.94210943695479776</v>
      </c>
      <c r="EA119" s="32">
        <v>0.94900398406374498</v>
      </c>
      <c r="EB119" s="32">
        <v>0.95298804780876489</v>
      </c>
      <c r="EC119" s="32">
        <v>0.95617529880478092</v>
      </c>
      <c r="ED119" s="32">
        <v>0.95019234267190888</v>
      </c>
      <c r="EE119" s="32">
        <v>0.95976095617529877</v>
      </c>
      <c r="EF119" s="32">
        <v>0.95915939730372723</v>
      </c>
      <c r="EG119" s="32">
        <v>0.94964314036478981</v>
      </c>
      <c r="EH119" s="32">
        <v>0.94845360824742264</v>
      </c>
      <c r="EI119" s="32">
        <v>0.95737051792828687</v>
      </c>
      <c r="EJ119" s="32">
        <v>0.95836637589214912</v>
      </c>
      <c r="EK119" s="32">
        <v>0.95418326693227096</v>
      </c>
      <c r="EL119" s="32">
        <v>0.95527675183484928</v>
      </c>
    </row>
    <row r="120" spans="38:142" x14ac:dyDescent="0.25">
      <c r="AL120" s="19" t="s">
        <v>169</v>
      </c>
      <c r="AM120" s="32">
        <v>0.95150720838794234</v>
      </c>
      <c r="AN120" s="32">
        <v>0.9762532981530343</v>
      </c>
      <c r="AO120" s="32">
        <v>0.93044619422572183</v>
      </c>
      <c r="AP120" s="32">
        <v>0.96736292428198434</v>
      </c>
      <c r="AQ120" s="32">
        <v>0.96484375</v>
      </c>
      <c r="AR120" s="32">
        <v>0.97368421052631582</v>
      </c>
      <c r="AS120" s="32">
        <v>0.99736147757255933</v>
      </c>
      <c r="AT120" s="32">
        <v>0.96592272330679385</v>
      </c>
      <c r="AU120" s="32">
        <v>0.91480996068152032</v>
      </c>
      <c r="AV120" s="32">
        <v>0.96</v>
      </c>
      <c r="AW120" s="32">
        <v>0.90645586297760206</v>
      </c>
      <c r="AX120" s="32">
        <v>0.90992167101827681</v>
      </c>
      <c r="AY120" s="32">
        <v>0.99215686274509807</v>
      </c>
      <c r="AZ120" s="32">
        <v>0.99738562091503269</v>
      </c>
      <c r="BA120" s="32">
        <v>0.97124183006535947</v>
      </c>
      <c r="BB120" s="32">
        <v>0.95028168691469861</v>
      </c>
      <c r="BC120" s="32">
        <v>0.92922673656618615</v>
      </c>
      <c r="BD120" s="32">
        <v>0.96753246753246758</v>
      </c>
      <c r="BE120" s="32">
        <v>0.89515072083879421</v>
      </c>
      <c r="BF120" s="32">
        <v>0.92695883134130141</v>
      </c>
      <c r="BG120" s="32">
        <v>0.96199213630406288</v>
      </c>
      <c r="BH120" s="32">
        <v>0.97653194263363752</v>
      </c>
      <c r="BI120" s="32">
        <v>0.99072847682119203</v>
      </c>
      <c r="BJ120" s="32">
        <v>0.94973161600537737</v>
      </c>
      <c r="BK120" s="32">
        <v>0.92470277410832236</v>
      </c>
      <c r="BL120" s="32">
        <v>0.88874172185430467</v>
      </c>
      <c r="BM120" s="32">
        <v>0.91545574636723914</v>
      </c>
      <c r="BN120" s="32">
        <v>0.89158163265306123</v>
      </c>
      <c r="BO120" s="32">
        <v>0.90224570673712023</v>
      </c>
      <c r="BP120" s="32">
        <v>0.7973509933774835</v>
      </c>
      <c r="BQ120" s="32">
        <v>0.83576158940397349</v>
      </c>
      <c r="BR120" s="32">
        <v>0.87940573778592912</v>
      </c>
      <c r="BS120" s="32">
        <v>0.88500000000000001</v>
      </c>
      <c r="BT120" s="32">
        <v>0.89534883720930236</v>
      </c>
      <c r="BU120" s="32">
        <v>0.85356695869837296</v>
      </c>
      <c r="BV120" s="32" t="e">
        <v>#NUM!</v>
      </c>
      <c r="BW120" s="32">
        <v>0.92219387755102045</v>
      </c>
      <c r="BX120" s="32">
        <v>0.89507772020725385</v>
      </c>
      <c r="BY120" s="32">
        <v>0.91321243523316065</v>
      </c>
      <c r="BZ120" s="32" t="e">
        <v>#NUM!</v>
      </c>
      <c r="CA120" s="32">
        <v>0.9096774193548387</v>
      </c>
      <c r="CB120" s="32">
        <v>0.90433673469387754</v>
      </c>
      <c r="CC120" s="32">
        <v>0.90322580645161288</v>
      </c>
      <c r="CD120" s="32">
        <v>0.9152542372881356</v>
      </c>
      <c r="CE120" s="32">
        <v>0.96</v>
      </c>
      <c r="CF120" s="32">
        <v>0.94238156209987201</v>
      </c>
      <c r="CG120" s="32">
        <v>0.95006402048655569</v>
      </c>
      <c r="CH120" s="32">
        <v>0.92641996862498455</v>
      </c>
      <c r="CI120" s="32">
        <v>0.95187165775401072</v>
      </c>
      <c r="CJ120" s="32">
        <v>0.96736292428198434</v>
      </c>
      <c r="CK120" s="32">
        <v>0.92553191489361697</v>
      </c>
      <c r="CL120" s="32">
        <v>0.93832020997375332</v>
      </c>
      <c r="CM120" s="32">
        <v>0.94764397905759157</v>
      </c>
      <c r="CN120" s="32">
        <v>0.97240473061760846</v>
      </c>
      <c r="CO120" s="32">
        <v>0.99346405228758172</v>
      </c>
      <c r="CP120" s="32">
        <v>0.95665706698087827</v>
      </c>
      <c r="CQ120" s="32">
        <v>0.95850066934404288</v>
      </c>
      <c r="CR120" s="32">
        <v>0.96339869281045754</v>
      </c>
      <c r="CS120" s="32">
        <v>0.93066666666666664</v>
      </c>
      <c r="CT120" s="32">
        <v>0.95256916996047436</v>
      </c>
      <c r="CU120" s="32">
        <v>0.97078353253652061</v>
      </c>
      <c r="CV120" s="32">
        <v>0.95300261096605743</v>
      </c>
      <c r="CW120" s="32">
        <v>0.95778364116094983</v>
      </c>
      <c r="CX120" s="32">
        <v>0.95524356906359553</v>
      </c>
      <c r="CY120" s="32">
        <v>0.9073359073359073</v>
      </c>
      <c r="CZ120" s="32">
        <v>0.97036082474226804</v>
      </c>
      <c r="DA120" s="32">
        <v>0.90231362467866327</v>
      </c>
      <c r="DB120" s="32">
        <v>0.92025316455696204</v>
      </c>
      <c r="DC120" s="32">
        <v>0.93814432989690721</v>
      </c>
      <c r="DD120" s="32">
        <v>0.96640826873385011</v>
      </c>
      <c r="DE120" s="32">
        <v>0.95607235142118863</v>
      </c>
      <c r="DF120" s="32">
        <v>0.93726978162367824</v>
      </c>
      <c r="DG120" s="32">
        <v>0.94172185430463573</v>
      </c>
      <c r="DH120" s="32">
        <v>0.94508301404853134</v>
      </c>
      <c r="DI120" s="32">
        <v>0.93148880105401843</v>
      </c>
      <c r="DJ120" s="32">
        <v>0.95652173913043481</v>
      </c>
      <c r="DK120" s="32">
        <v>0.96062992125984248</v>
      </c>
      <c r="DL120" s="32">
        <v>0.94884910485933505</v>
      </c>
      <c r="DM120" s="32">
        <v>0.96875</v>
      </c>
      <c r="DN120" s="32">
        <v>0.95043491923668533</v>
      </c>
      <c r="DO120" s="32">
        <v>0.90697674418604646</v>
      </c>
      <c r="DP120" s="32">
        <v>0.96601307189542485</v>
      </c>
      <c r="DQ120" s="32">
        <v>0.90956072351421191</v>
      </c>
      <c r="DR120" s="32">
        <v>0.92996108949416345</v>
      </c>
      <c r="DS120" s="32">
        <v>0.95607235142118863</v>
      </c>
      <c r="DT120" s="32">
        <v>0.97109067017082784</v>
      </c>
      <c r="DU120" s="32">
        <v>0.96465968586387429</v>
      </c>
      <c r="DV120" s="32">
        <v>0.94347633379224816</v>
      </c>
      <c r="DW120" s="32">
        <v>0.92539267015706805</v>
      </c>
      <c r="DX120" s="32">
        <v>0.95366795366795365</v>
      </c>
      <c r="DY120" s="32">
        <v>0.92156862745098034</v>
      </c>
      <c r="DZ120" s="32">
        <v>0.94379084967320259</v>
      </c>
      <c r="EA120" s="32">
        <v>0.92987012987012985</v>
      </c>
      <c r="EB120" s="32">
        <v>0.95512820512820518</v>
      </c>
      <c r="EC120" s="32">
        <v>0.94723294723294726</v>
      </c>
      <c r="ED120" s="32">
        <v>0.9395216261686411</v>
      </c>
      <c r="EE120" s="32">
        <v>0.91122715404699739</v>
      </c>
      <c r="EF120" s="32">
        <v>0.95572916666666663</v>
      </c>
      <c r="EG120" s="32">
        <v>0.89909443725743854</v>
      </c>
      <c r="EH120" s="32">
        <v>0.93281653746770021</v>
      </c>
      <c r="EI120" s="32">
        <v>0.9469598965071151</v>
      </c>
      <c r="EJ120" s="32">
        <v>0.94079794079794077</v>
      </c>
      <c r="EK120" s="32">
        <v>0.95310519645120406</v>
      </c>
      <c r="EL120" s="32">
        <v>0.93424718988500899</v>
      </c>
    </row>
    <row r="121" spans="38:142" x14ac:dyDescent="0.25">
      <c r="AL121" s="19" t="s">
        <v>170</v>
      </c>
      <c r="AM121" s="32">
        <v>0.9604672057502246</v>
      </c>
      <c r="AN121" s="32">
        <v>0.99023957409050578</v>
      </c>
      <c r="AO121" s="32">
        <v>0.97114517583408477</v>
      </c>
      <c r="AP121" s="32">
        <v>0.99098286744815145</v>
      </c>
      <c r="AQ121" s="32">
        <v>0.99015219337511196</v>
      </c>
      <c r="AR121" s="32">
        <v>0.99194270367054616</v>
      </c>
      <c r="AS121" s="32">
        <v>0.98206278026905824</v>
      </c>
      <c r="AT121" s="32">
        <v>0.9824275000625261</v>
      </c>
      <c r="AU121" s="32">
        <v>0.96406109613656787</v>
      </c>
      <c r="AV121" s="32">
        <v>0.99646017699115041</v>
      </c>
      <c r="AW121" s="32">
        <v>0.96457765667574935</v>
      </c>
      <c r="AX121" s="32">
        <v>0.99457504520795659</v>
      </c>
      <c r="AY121" s="32">
        <v>0.98379837983798379</v>
      </c>
      <c r="AZ121" s="32">
        <v>0.9874664279319606</v>
      </c>
      <c r="BA121" s="32">
        <v>0.99012567324955114</v>
      </c>
      <c r="BB121" s="32">
        <v>0.98300920800441716</v>
      </c>
      <c r="BC121" s="32">
        <v>0.97361237488626029</v>
      </c>
      <c r="BD121" s="32">
        <v>0.97942754919499109</v>
      </c>
      <c r="BE121" s="32">
        <v>0.98263254113345522</v>
      </c>
      <c r="BF121" s="32">
        <v>0.99455040871934608</v>
      </c>
      <c r="BG121" s="32">
        <v>0.98646209386281591</v>
      </c>
      <c r="BH121" s="32">
        <v>0.98830935251798557</v>
      </c>
      <c r="BI121" s="32">
        <v>0.98196573489630301</v>
      </c>
      <c r="BJ121" s="32">
        <v>0.98385143645873663</v>
      </c>
      <c r="BK121" s="32">
        <v>0.98260073260073255</v>
      </c>
      <c r="BL121" s="32">
        <v>0.96548592188919169</v>
      </c>
      <c r="BM121" s="32">
        <v>0.97130044843049324</v>
      </c>
      <c r="BN121" s="32">
        <v>0.98488888888888892</v>
      </c>
      <c r="BO121" s="32">
        <v>0.95417048579285058</v>
      </c>
      <c r="BP121" s="32">
        <v>0.8927589367552704</v>
      </c>
      <c r="BQ121" s="32">
        <v>0.8927589367552704</v>
      </c>
      <c r="BR121" s="32">
        <v>0.94913776444467113</v>
      </c>
      <c r="BS121" s="32">
        <v>0.99191374663072773</v>
      </c>
      <c r="BT121" s="32">
        <v>0.98046181172291291</v>
      </c>
      <c r="BU121" s="32">
        <v>0.98658318425760283</v>
      </c>
      <c r="BV121" s="32">
        <v>0.99029126213592233</v>
      </c>
      <c r="BW121" s="32">
        <v>0.94802867383512546</v>
      </c>
      <c r="BX121" s="32">
        <v>0.96422182468694095</v>
      </c>
      <c r="BY121" s="32">
        <v>0.98926654740608233</v>
      </c>
      <c r="BZ121" s="32">
        <v>0.9786810072393306</v>
      </c>
      <c r="CA121" s="32">
        <v>0.96696428571428572</v>
      </c>
      <c r="CB121" s="32">
        <v>0.98935226264418807</v>
      </c>
      <c r="CC121" s="32">
        <v>0.96961572832886511</v>
      </c>
      <c r="CD121" s="32">
        <v>0.98026905829596411</v>
      </c>
      <c r="CE121" s="32">
        <v>0.98054818744473915</v>
      </c>
      <c r="CF121" s="32">
        <v>0.9813829787234043</v>
      </c>
      <c r="CG121" s="32">
        <v>0.98487544483985767</v>
      </c>
      <c r="CH121" s="32">
        <v>0.97900113514161491</v>
      </c>
      <c r="CI121" s="32">
        <v>0.97763864042933812</v>
      </c>
      <c r="CJ121" s="32">
        <v>0.98484848484848486</v>
      </c>
      <c r="CK121" s="32">
        <v>0.9570277529095792</v>
      </c>
      <c r="CL121" s="32">
        <v>0.9838854073410922</v>
      </c>
      <c r="CM121" s="32">
        <v>0.97769848349687782</v>
      </c>
      <c r="CN121" s="32">
        <v>0.98136645962732916</v>
      </c>
      <c r="CO121" s="32">
        <v>0.97864768683274017</v>
      </c>
      <c r="CP121" s="32">
        <v>0.9773018450693487</v>
      </c>
      <c r="CQ121" s="32">
        <v>0.96199095022624437</v>
      </c>
      <c r="CR121" s="32">
        <v>0.98753339269813001</v>
      </c>
      <c r="CS121" s="32">
        <v>0.97830018083182635</v>
      </c>
      <c r="CT121" s="32">
        <v>0.98558558558558562</v>
      </c>
      <c r="CU121" s="32">
        <v>0.97937219730941705</v>
      </c>
      <c r="CV121" s="32">
        <v>0.98047914818101156</v>
      </c>
      <c r="CW121" s="32">
        <v>0.98483496877787691</v>
      </c>
      <c r="CX121" s="32">
        <v>0.97972806051572736</v>
      </c>
      <c r="CY121" s="32">
        <v>0.95130748422001798</v>
      </c>
      <c r="CZ121" s="32">
        <v>0.97229669347631809</v>
      </c>
      <c r="DA121" s="32">
        <v>0.96402877697841727</v>
      </c>
      <c r="DB121" s="32">
        <v>0.98561151079136688</v>
      </c>
      <c r="DC121" s="32">
        <v>0.96771300448430497</v>
      </c>
      <c r="DD121" s="32">
        <v>0.97304582210242585</v>
      </c>
      <c r="DE121" s="32">
        <v>0.97759856630824371</v>
      </c>
      <c r="DF121" s="32">
        <v>0.97022883690872774</v>
      </c>
      <c r="DG121" s="32">
        <v>0.9703504043126685</v>
      </c>
      <c r="DH121" s="32">
        <v>0.98652291105121293</v>
      </c>
      <c r="DI121" s="32">
        <v>0.97644927536231885</v>
      </c>
      <c r="DJ121" s="32">
        <v>0.9891205802357208</v>
      </c>
      <c r="DK121" s="32">
        <v>0.98206278026905824</v>
      </c>
      <c r="DL121" s="32">
        <v>0.98652291105121293</v>
      </c>
      <c r="DM121" s="32">
        <v>0.937332139659803</v>
      </c>
      <c r="DN121" s="32">
        <v>0.97548014313457088</v>
      </c>
      <c r="DO121" s="32">
        <v>0.95302619692863599</v>
      </c>
      <c r="DP121" s="32">
        <v>0.98565022421524662</v>
      </c>
      <c r="DQ121" s="32">
        <v>0.96212804328223622</v>
      </c>
      <c r="DR121" s="32">
        <v>0.97937219730941705</v>
      </c>
      <c r="DS121" s="32">
        <v>0.9776785714285714</v>
      </c>
      <c r="DT121" s="32">
        <v>0.970873786407767</v>
      </c>
      <c r="DU121" s="32">
        <v>0.97692990239574096</v>
      </c>
      <c r="DV121" s="32">
        <v>0.97223698885251653</v>
      </c>
      <c r="DW121" s="32">
        <v>0.97377938517179019</v>
      </c>
      <c r="DX121" s="32">
        <v>0.97591436217662797</v>
      </c>
      <c r="DY121" s="32">
        <v>0.971996386630533</v>
      </c>
      <c r="DZ121" s="32">
        <v>0.98479427549194987</v>
      </c>
      <c r="EA121" s="32">
        <v>0.96835443037974689</v>
      </c>
      <c r="EB121" s="32">
        <v>0.98659517426273458</v>
      </c>
      <c r="EC121" s="32">
        <v>0.94414414414414416</v>
      </c>
      <c r="ED121" s="32">
        <v>0.97222545117964654</v>
      </c>
      <c r="EE121" s="32">
        <v>0.95199275362318836</v>
      </c>
      <c r="EF121" s="32">
        <v>0.98215878679750224</v>
      </c>
      <c r="EG121" s="32">
        <v>0.94373865698729587</v>
      </c>
      <c r="EH121" s="32">
        <v>0.98019801980198018</v>
      </c>
      <c r="EI121" s="32">
        <v>0.94319206492335439</v>
      </c>
      <c r="EJ121" s="32">
        <v>0.98283649503161696</v>
      </c>
      <c r="EK121" s="32">
        <v>0.95613249776186215</v>
      </c>
      <c r="EL121" s="32">
        <v>0.96289275356097137</v>
      </c>
    </row>
    <row r="122" spans="38:142" x14ac:dyDescent="0.25">
      <c r="AL122" s="19" t="s">
        <v>240</v>
      </c>
      <c r="AM122" s="32">
        <v>0.93105950653120462</v>
      </c>
      <c r="AN122" s="32">
        <v>0.92820884699057293</v>
      </c>
      <c r="AO122" s="32">
        <v>0.94202898550724634</v>
      </c>
      <c r="AP122" s="32">
        <v>0.95037037037037042</v>
      </c>
      <c r="AQ122" s="32">
        <v>0.94565217391304346</v>
      </c>
      <c r="AR122" s="32">
        <v>0.94275362318840583</v>
      </c>
      <c r="AS122" s="32">
        <v>0.94420289855072459</v>
      </c>
      <c r="AT122" s="32">
        <v>0.94061091500736693</v>
      </c>
      <c r="AU122" s="32">
        <v>0.93125904486251809</v>
      </c>
      <c r="AV122" s="32">
        <v>0.95441389290882783</v>
      </c>
      <c r="AW122" s="32">
        <v>0.94790159189580314</v>
      </c>
      <c r="AX122" s="32">
        <v>0.97189349112426038</v>
      </c>
      <c r="AY122" s="32">
        <v>0.9261939218523878</v>
      </c>
      <c r="AZ122" s="32">
        <v>0.96671490593342979</v>
      </c>
      <c r="BA122" s="32">
        <v>0.9261939218523878</v>
      </c>
      <c r="BB122" s="32">
        <v>0.94636725291851642</v>
      </c>
      <c r="BC122" s="32">
        <v>0.92846820809248554</v>
      </c>
      <c r="BD122" s="32">
        <v>0.96531791907514453</v>
      </c>
      <c r="BE122" s="32">
        <v>0.91690751445086704</v>
      </c>
      <c r="BF122" s="32">
        <v>0.91211225997045786</v>
      </c>
      <c r="BG122" s="32">
        <v>0.92630057803468213</v>
      </c>
      <c r="BH122" s="32">
        <v>0.95447976878612717</v>
      </c>
      <c r="BI122" s="32">
        <v>0.96820809248554918</v>
      </c>
      <c r="BJ122" s="32">
        <v>0.93882776298504467</v>
      </c>
      <c r="BK122" s="32">
        <v>0.86002886002886003</v>
      </c>
      <c r="BL122" s="32">
        <v>0.88528138528138534</v>
      </c>
      <c r="BM122" s="32">
        <v>0.88201847903340436</v>
      </c>
      <c r="BN122" s="32">
        <v>0.925199709513435</v>
      </c>
      <c r="BO122" s="32">
        <v>0.85425685425685427</v>
      </c>
      <c r="BP122" s="32">
        <v>0.82756132756132761</v>
      </c>
      <c r="BQ122" s="32">
        <v>0.78643578643578649</v>
      </c>
      <c r="BR122" s="32">
        <v>0.86011177173015041</v>
      </c>
      <c r="BS122" s="32">
        <v>0.92291371994342286</v>
      </c>
      <c r="BT122" s="32">
        <v>0.92389006342494717</v>
      </c>
      <c r="BU122" s="32">
        <v>0.93546099290780138</v>
      </c>
      <c r="BV122" s="32">
        <v>0.98188405797101452</v>
      </c>
      <c r="BW122" s="32">
        <v>0.93573446327683618</v>
      </c>
      <c r="BX122" s="32">
        <v>0.90556730091613813</v>
      </c>
      <c r="BY122" s="32">
        <v>0.91359773371104813</v>
      </c>
      <c r="BZ122" s="32">
        <v>0.93129261887874404</v>
      </c>
      <c r="CA122" s="32">
        <v>0.91777933942375267</v>
      </c>
      <c r="CB122" s="32">
        <v>0.95889440113394753</v>
      </c>
      <c r="CC122" s="32">
        <v>0.94142554693013414</v>
      </c>
      <c r="CD122" s="32">
        <v>0.95529920692141312</v>
      </c>
      <c r="CE122" s="32">
        <v>0.9242636746143057</v>
      </c>
      <c r="CF122" s="32">
        <v>0.96172927002126152</v>
      </c>
      <c r="CG122" s="32">
        <v>0.9367977528089888</v>
      </c>
      <c r="CH122" s="32">
        <v>0.9423127416934004</v>
      </c>
      <c r="CI122" s="32">
        <v>0.92194092827004215</v>
      </c>
      <c r="CJ122" s="32">
        <v>0.9726315789473684</v>
      </c>
      <c r="CK122" s="32">
        <v>0.89978828510938602</v>
      </c>
      <c r="CL122" s="32">
        <v>0.93578643578643583</v>
      </c>
      <c r="CM122" s="32">
        <v>0.94163150492264414</v>
      </c>
      <c r="CN122" s="32">
        <v>0.96493688639551189</v>
      </c>
      <c r="CO122" s="32">
        <v>0.9564606741573034</v>
      </c>
      <c r="CP122" s="32">
        <v>0.94188232765552737</v>
      </c>
      <c r="CQ122" s="32">
        <v>0.90402258292166549</v>
      </c>
      <c r="CR122" s="32">
        <v>0.9316901408450704</v>
      </c>
      <c r="CS122" s="32">
        <v>0.87825475017593246</v>
      </c>
      <c r="CT122" s="32">
        <v>0.9072609633357297</v>
      </c>
      <c r="CU122" s="32">
        <v>0.90781140042223785</v>
      </c>
      <c r="CV122" s="32">
        <v>0.93083980239943542</v>
      </c>
      <c r="CW122" s="32">
        <v>0.92731122088920259</v>
      </c>
      <c r="CX122" s="32">
        <v>0.912455837284182</v>
      </c>
      <c r="CY122" s="32">
        <v>0.8975265017667845</v>
      </c>
      <c r="CZ122" s="32">
        <v>0.92448835568101628</v>
      </c>
      <c r="DA122" s="32">
        <v>0.8968197879858657</v>
      </c>
      <c r="DB122" s="32">
        <v>0.92851985559566785</v>
      </c>
      <c r="DC122" s="32">
        <v>0.91660777385159009</v>
      </c>
      <c r="DD122" s="32">
        <v>0.93229901269393511</v>
      </c>
      <c r="DE122" s="32">
        <v>0.93582510578279265</v>
      </c>
      <c r="DF122" s="32">
        <v>0.91886948476537889</v>
      </c>
      <c r="DG122" s="32">
        <v>0.88625261688764834</v>
      </c>
      <c r="DH122" s="32">
        <v>0.93023255813953487</v>
      </c>
      <c r="DI122" s="32">
        <v>0.88206559665038387</v>
      </c>
      <c r="DJ122" s="32">
        <v>0.91090520313613688</v>
      </c>
      <c r="DK122" s="32">
        <v>0.91207257501744587</v>
      </c>
      <c r="DL122" s="32">
        <v>0.94428772919605075</v>
      </c>
      <c r="DM122" s="32">
        <v>0.90858339148639222</v>
      </c>
      <c r="DN122" s="32">
        <v>0.9106285243590847</v>
      </c>
      <c r="DO122" s="32">
        <v>0.90592334494773519</v>
      </c>
      <c r="DP122" s="32">
        <v>0.91498257839721253</v>
      </c>
      <c r="DQ122" s="32">
        <v>0.92264808362369333</v>
      </c>
      <c r="DR122" s="32">
        <v>0.95231316725978643</v>
      </c>
      <c r="DS122" s="32">
        <v>0.92125435540069689</v>
      </c>
      <c r="DT122" s="32">
        <v>0.91777003484320563</v>
      </c>
      <c r="DU122" s="32">
        <v>0.92125435540069689</v>
      </c>
      <c r="DV122" s="32">
        <v>0.92230655998186095</v>
      </c>
      <c r="DW122" s="32">
        <v>0.89074460681976342</v>
      </c>
      <c r="DX122" s="32">
        <v>0.94084899095337504</v>
      </c>
      <c r="DY122" s="32">
        <v>0.86091794158553547</v>
      </c>
      <c r="DZ122" s="32">
        <v>0.88352272727272729</v>
      </c>
      <c r="EA122" s="32">
        <v>0.90472878998609174</v>
      </c>
      <c r="EB122" s="32">
        <v>0.92693110647181631</v>
      </c>
      <c r="EC122" s="32">
        <v>0.90605427974947805</v>
      </c>
      <c r="ED122" s="32">
        <v>0.90196406326268408</v>
      </c>
      <c r="EE122" s="32">
        <v>0.90479499652536488</v>
      </c>
      <c r="EF122" s="32">
        <v>0.88255733148019455</v>
      </c>
      <c r="EG122" s="32">
        <v>0.87352328005559421</v>
      </c>
      <c r="EH122" s="32">
        <v>0.92334989354151886</v>
      </c>
      <c r="EI122" s="32">
        <v>0.89923558026407224</v>
      </c>
      <c r="EJ122" s="32">
        <v>0.88950660180681029</v>
      </c>
      <c r="EK122" s="32">
        <v>0.891591382904795</v>
      </c>
      <c r="EL122" s="32">
        <v>0.89493700951119293</v>
      </c>
    </row>
    <row r="123" spans="38:142" x14ac:dyDescent="0.25">
      <c r="AL123" s="19" t="s">
        <v>171</v>
      </c>
      <c r="AM123" s="32">
        <v>0.92695214105793455</v>
      </c>
      <c r="AN123" s="32">
        <v>0.92897907419150283</v>
      </c>
      <c r="AO123" s="32">
        <v>0.94084329767149155</v>
      </c>
      <c r="AP123" s="32">
        <v>0.95964691046658257</v>
      </c>
      <c r="AQ123" s="32">
        <v>0.94010088272383352</v>
      </c>
      <c r="AR123" s="32">
        <v>0.95253164556962022</v>
      </c>
      <c r="AS123" s="32">
        <v>0.93005671077504726</v>
      </c>
      <c r="AT123" s="32">
        <v>0.93987295177943042</v>
      </c>
      <c r="AU123" s="32">
        <v>0.91703331238214958</v>
      </c>
      <c r="AV123" s="32">
        <v>0.97670025188916876</v>
      </c>
      <c r="AW123" s="32">
        <v>0.94217473287240727</v>
      </c>
      <c r="AX123" s="32">
        <v>0.96040226272784412</v>
      </c>
      <c r="AY123" s="32">
        <v>0.94276729559748429</v>
      </c>
      <c r="AZ123" s="32">
        <v>0.97539432176656149</v>
      </c>
      <c r="BA123" s="32">
        <v>0.94210195091252358</v>
      </c>
      <c r="BB123" s="32">
        <v>0.95093916116401989</v>
      </c>
      <c r="BC123" s="32">
        <v>0.90326633165829151</v>
      </c>
      <c r="BD123" s="32">
        <v>0.94978028876333964</v>
      </c>
      <c r="BE123" s="32">
        <v>0.91069182389937109</v>
      </c>
      <c r="BF123" s="32">
        <v>0.91017587939698497</v>
      </c>
      <c r="BG123" s="32">
        <v>0.96482412060301503</v>
      </c>
      <c r="BH123" s="32">
        <v>0.97361809045226133</v>
      </c>
      <c r="BI123" s="32">
        <v>0.96027742749054223</v>
      </c>
      <c r="BJ123" s="32">
        <v>0.93894770889482937</v>
      </c>
      <c r="BK123" s="32">
        <v>0.86862244897959184</v>
      </c>
      <c r="BL123" s="32">
        <v>0.88749214330609683</v>
      </c>
      <c r="BM123" s="32">
        <v>0.90369897959183676</v>
      </c>
      <c r="BN123" s="32">
        <v>0.93239795918367352</v>
      </c>
      <c r="BO123" s="32">
        <v>0.83674775928297052</v>
      </c>
      <c r="BP123" s="32">
        <v>0.78859705317104423</v>
      </c>
      <c r="BQ123" s="32">
        <v>0.79808306709265175</v>
      </c>
      <c r="BR123" s="32">
        <v>0.85937705865826663</v>
      </c>
      <c r="BS123" s="32">
        <v>0.93908629441624369</v>
      </c>
      <c r="BT123" s="32">
        <v>0.93678160919540232</v>
      </c>
      <c r="BU123" s="32">
        <v>0.93566878980891721</v>
      </c>
      <c r="BV123" s="32">
        <v>0.94532739987285441</v>
      </c>
      <c r="BW123" s="32">
        <v>0.96055979643765899</v>
      </c>
      <c r="BX123" s="32">
        <v>0.89917038927887682</v>
      </c>
      <c r="BY123" s="32">
        <v>0.92038216560509556</v>
      </c>
      <c r="BZ123" s="32">
        <v>0.93385377780214995</v>
      </c>
      <c r="CA123" s="32">
        <v>0.92512690355329952</v>
      </c>
      <c r="CB123" s="32">
        <v>0.94908862350722811</v>
      </c>
      <c r="CC123" s="32">
        <v>0.91671964399237127</v>
      </c>
      <c r="CD123" s="32">
        <v>0.95362134688691236</v>
      </c>
      <c r="CE123" s="32">
        <v>0.96898734177215184</v>
      </c>
      <c r="CF123" s="32">
        <v>0.95964691046658257</v>
      </c>
      <c r="CG123" s="32">
        <v>0.95018915510718793</v>
      </c>
      <c r="CH123" s="32">
        <v>0.94619713218367618</v>
      </c>
      <c r="CI123" s="32">
        <v>0.95313489550348318</v>
      </c>
      <c r="CJ123" s="32">
        <v>0.96338383838383834</v>
      </c>
      <c r="CK123" s="32">
        <v>0.93501577287066251</v>
      </c>
      <c r="CL123" s="32">
        <v>0.94524858401510381</v>
      </c>
      <c r="CM123" s="32">
        <v>0.95103578154425616</v>
      </c>
      <c r="CN123" s="32">
        <v>0.96025236593059937</v>
      </c>
      <c r="CO123" s="32">
        <v>0.94783155248271522</v>
      </c>
      <c r="CP123" s="32">
        <v>0.95084325581866558</v>
      </c>
      <c r="CQ123" s="32">
        <v>0.90744215134459039</v>
      </c>
      <c r="CR123" s="32">
        <v>0.94878201124297312</v>
      </c>
      <c r="CS123" s="32">
        <v>0.90482154038822793</v>
      </c>
      <c r="CT123" s="32">
        <v>0.94427050720100192</v>
      </c>
      <c r="CU123" s="32">
        <v>0.9314214463840399</v>
      </c>
      <c r="CV123" s="32">
        <v>0.94987468671679198</v>
      </c>
      <c r="CW123" s="32">
        <v>0.94789704959196486</v>
      </c>
      <c r="CX123" s="32">
        <v>0.93350134183851285</v>
      </c>
      <c r="CY123" s="32">
        <v>0.91391141609482218</v>
      </c>
      <c r="CZ123" s="32">
        <v>0.96235884567126728</v>
      </c>
      <c r="DA123" s="32">
        <v>0.91692692067457837</v>
      </c>
      <c r="DB123" s="32">
        <v>0.91967621419676215</v>
      </c>
      <c r="DC123" s="32">
        <v>0.96820448877805487</v>
      </c>
      <c r="DD123" s="32">
        <v>0.97487437185929648</v>
      </c>
      <c r="DE123" s="32">
        <v>0.95955196017423772</v>
      </c>
      <c r="DF123" s="32">
        <v>0.94507203106414572</v>
      </c>
      <c r="DG123" s="32">
        <v>0.89104571070757665</v>
      </c>
      <c r="DH123" s="32">
        <v>0.94694132334581771</v>
      </c>
      <c r="DI123" s="32">
        <v>0.89756402248594624</v>
      </c>
      <c r="DJ123" s="32">
        <v>0.92451653150343105</v>
      </c>
      <c r="DK123" s="32">
        <v>0.9362898188632105</v>
      </c>
      <c r="DL123" s="32">
        <v>0.94011228945726766</v>
      </c>
      <c r="DM123" s="32">
        <v>0.94260761072988142</v>
      </c>
      <c r="DN123" s="32">
        <v>0.92558247244187597</v>
      </c>
      <c r="DO123" s="32">
        <v>0.88965952080706179</v>
      </c>
      <c r="DP123" s="32">
        <v>0.92901618929016194</v>
      </c>
      <c r="DQ123" s="32">
        <v>0.90391908975979773</v>
      </c>
      <c r="DR123" s="32">
        <v>0.93274670018856065</v>
      </c>
      <c r="DS123" s="32">
        <v>0.92404268675455115</v>
      </c>
      <c r="DT123" s="32">
        <v>0.93871169480925576</v>
      </c>
      <c r="DU123" s="32">
        <v>0.9525888958203369</v>
      </c>
      <c r="DV123" s="32">
        <v>0.92438353963281794</v>
      </c>
      <c r="DW123" s="32">
        <v>0.91389063482086741</v>
      </c>
      <c r="DX123" s="32">
        <v>0.93761696818465379</v>
      </c>
      <c r="DY123" s="32">
        <v>0.90006285355122562</v>
      </c>
      <c r="DZ123" s="32">
        <v>0.93471437539234148</v>
      </c>
      <c r="EA123" s="32">
        <v>0.93910860012554931</v>
      </c>
      <c r="EB123" s="32">
        <v>0.94402985074626866</v>
      </c>
      <c r="EC123" s="32">
        <v>0.94128669581511559</v>
      </c>
      <c r="ED123" s="32">
        <v>0.93010142551943165</v>
      </c>
      <c r="EE123" s="32">
        <v>0.90640703517587939</v>
      </c>
      <c r="EF123" s="32">
        <v>0.9330413016270338</v>
      </c>
      <c r="EG123" s="32">
        <v>0.92143306096794464</v>
      </c>
      <c r="EH123" s="32">
        <v>0.92471769134253445</v>
      </c>
      <c r="EI123" s="32">
        <v>0.94235588972431072</v>
      </c>
      <c r="EJ123" s="32">
        <v>0.94444444444444442</v>
      </c>
      <c r="EK123" s="32">
        <v>0.92220828105395236</v>
      </c>
      <c r="EL123" s="32">
        <v>0.92780110061944288</v>
      </c>
    </row>
    <row r="124" spans="38:142" x14ac:dyDescent="0.25">
      <c r="AL124" s="19" t="s">
        <v>172</v>
      </c>
      <c r="AM124" s="32">
        <v>0.9454253611556982</v>
      </c>
      <c r="AN124" s="32">
        <v>0.95572519083969465</v>
      </c>
      <c r="AO124" s="32">
        <v>0.9486356340288925</v>
      </c>
      <c r="AP124" s="32">
        <v>0.9598715890850722</v>
      </c>
      <c r="AQ124" s="32">
        <v>0.96030534351145036</v>
      </c>
      <c r="AR124" s="32">
        <v>0.94351145038167938</v>
      </c>
      <c r="AS124" s="32">
        <v>0.93740458015267181</v>
      </c>
      <c r="AT124" s="32">
        <v>0.95012559273645125</v>
      </c>
      <c r="AU124" s="32">
        <v>0.88143525741029638</v>
      </c>
      <c r="AV124" s="32">
        <v>0.95902883156297425</v>
      </c>
      <c r="AW124" s="32">
        <v>0.88455538221528862</v>
      </c>
      <c r="AX124" s="32">
        <v>0.92197452229299359</v>
      </c>
      <c r="AY124" s="32">
        <v>0.93915756630265212</v>
      </c>
      <c r="AZ124" s="32">
        <v>0.93769470404984423</v>
      </c>
      <c r="BA124" s="32">
        <v>0.95604395604395609</v>
      </c>
      <c r="BB124" s="32">
        <v>0.92569860283971495</v>
      </c>
      <c r="BC124" s="32">
        <v>0.88676236044657097</v>
      </c>
      <c r="BD124" s="32">
        <v>0.92358803986710969</v>
      </c>
      <c r="BE124" s="32">
        <v>0.88730158730158726</v>
      </c>
      <c r="BF124" s="32">
        <v>0.89506172839506171</v>
      </c>
      <c r="BG124" s="32">
        <v>0.9069373942470389</v>
      </c>
      <c r="BH124" s="32">
        <v>0.93581081081081086</v>
      </c>
      <c r="BI124" s="32">
        <v>0.93908629441624369</v>
      </c>
      <c r="BJ124" s="32">
        <v>0.91064974506920326</v>
      </c>
      <c r="BK124" s="32">
        <v>0.91912908242612756</v>
      </c>
      <c r="BL124" s="32">
        <v>0.87037037037037035</v>
      </c>
      <c r="BM124" s="32">
        <v>0.92690513219284598</v>
      </c>
      <c r="BN124" s="32">
        <v>0.94867807153965789</v>
      </c>
      <c r="BO124" s="32">
        <v>0.91181102362204725</v>
      </c>
      <c r="BP124" s="32">
        <v>0.875</v>
      </c>
      <c r="BQ124" s="32">
        <v>0.90123456790123457</v>
      </c>
      <c r="BR124" s="32">
        <v>0.90758974972175477</v>
      </c>
      <c r="BS124" s="32">
        <v>0.93670886075949367</v>
      </c>
      <c r="BT124" s="32">
        <v>0.94245723172628304</v>
      </c>
      <c r="BU124" s="32">
        <v>0.95807453416149069</v>
      </c>
      <c r="BV124" s="32">
        <v>0.97670807453416153</v>
      </c>
      <c r="BW124" s="32">
        <v>0.9503105590062112</v>
      </c>
      <c r="BX124" s="32">
        <v>0.92990654205607481</v>
      </c>
      <c r="BY124" s="32">
        <v>0.95341614906832295</v>
      </c>
      <c r="BZ124" s="32">
        <v>0.94965456447314822</v>
      </c>
      <c r="CA124" s="32">
        <v>0.91162790697674423</v>
      </c>
      <c r="CB124" s="32">
        <v>0.97981366459627328</v>
      </c>
      <c r="CC124" s="32">
        <v>0.91937984496124026</v>
      </c>
      <c r="CD124" s="32">
        <v>0.9503105590062112</v>
      </c>
      <c r="CE124" s="32">
        <v>0.9147286821705426</v>
      </c>
      <c r="CF124" s="32">
        <v>0.97674418604651159</v>
      </c>
      <c r="CG124" s="32">
        <v>0.93333333333333335</v>
      </c>
      <c r="CH124" s="32">
        <v>0.9408483110129795</v>
      </c>
      <c r="CI124" s="32">
        <v>0.93643410852713183</v>
      </c>
      <c r="CJ124" s="32">
        <v>0.97364341085271322</v>
      </c>
      <c r="CK124" s="32">
        <v>0.94883720930232562</v>
      </c>
      <c r="CL124" s="32">
        <v>0.96899224806201545</v>
      </c>
      <c r="CM124" s="32">
        <v>0.95911949685534592</v>
      </c>
      <c r="CN124" s="32">
        <v>0.97634069400630918</v>
      </c>
      <c r="CO124" s="32">
        <v>0.96208530805687209</v>
      </c>
      <c r="CP124" s="32">
        <v>0.96077892509467333</v>
      </c>
      <c r="CQ124" s="32">
        <v>0.89612403100775195</v>
      </c>
      <c r="CR124" s="32">
        <v>0.98116169544740972</v>
      </c>
      <c r="CS124" s="32">
        <v>0.90895061728395066</v>
      </c>
      <c r="CT124" s="32">
        <v>0.93012422360248448</v>
      </c>
      <c r="CU124" s="32">
        <v>0.94263565891472867</v>
      </c>
      <c r="CV124" s="32">
        <v>0.97652582159624413</v>
      </c>
      <c r="CW124" s="32">
        <v>0.96589147286821708</v>
      </c>
      <c r="CX124" s="32">
        <v>0.94305907438868375</v>
      </c>
      <c r="CY124" s="32">
        <v>0.91782945736434107</v>
      </c>
      <c r="CZ124" s="32">
        <v>0.95968992248062013</v>
      </c>
      <c r="DA124" s="32">
        <v>0.91007751937984493</v>
      </c>
      <c r="DB124" s="32">
        <v>0.94875776397515532</v>
      </c>
      <c r="DC124" s="32">
        <v>0.94883720930232562</v>
      </c>
      <c r="DD124" s="32">
        <v>0.95377503852080125</v>
      </c>
      <c r="DE124" s="32">
        <v>0.95658914728682165</v>
      </c>
      <c r="DF124" s="32">
        <v>0.94222229404427293</v>
      </c>
      <c r="DG124" s="32">
        <v>0.95038759689922481</v>
      </c>
      <c r="DH124" s="32">
        <v>0.95968992248062013</v>
      </c>
      <c r="DI124" s="32">
        <v>0.94728682170542633</v>
      </c>
      <c r="DJ124" s="32">
        <v>0.96124031007751942</v>
      </c>
      <c r="DK124" s="32">
        <v>0.95193798449612399</v>
      </c>
      <c r="DL124" s="32">
        <v>0.96279069767441861</v>
      </c>
      <c r="DM124" s="32">
        <v>0.96889580093312599</v>
      </c>
      <c r="DN124" s="32">
        <v>0.95746130489520831</v>
      </c>
      <c r="DO124" s="32">
        <v>0.93809523809523809</v>
      </c>
      <c r="DP124" s="32">
        <v>0.94875776397515532</v>
      </c>
      <c r="DQ124" s="32">
        <v>0.94879999999999998</v>
      </c>
      <c r="DR124" s="32">
        <v>0.97322834645669287</v>
      </c>
      <c r="DS124" s="32">
        <v>0.92546583850931674</v>
      </c>
      <c r="DT124" s="32">
        <v>0.96273291925465843</v>
      </c>
      <c r="DU124" s="32">
        <v>0.91925465838509313</v>
      </c>
      <c r="DV124" s="32">
        <v>0.94519068066802225</v>
      </c>
      <c r="DW124" s="32">
        <v>0.90217391304347827</v>
      </c>
      <c r="DX124" s="32">
        <v>0.9826771653543307</v>
      </c>
      <c r="DY124" s="32">
        <v>0.91304347826086951</v>
      </c>
      <c r="DZ124" s="32">
        <v>0.93944099378881984</v>
      </c>
      <c r="EA124" s="32">
        <v>0.93012422360248448</v>
      </c>
      <c r="EB124" s="32">
        <v>0.97209302325581393</v>
      </c>
      <c r="EC124" s="32">
        <v>0.98449612403100772</v>
      </c>
      <c r="ED124" s="32">
        <v>0.94629270304811486</v>
      </c>
      <c r="EE124" s="32">
        <v>0.90372670807453415</v>
      </c>
      <c r="EF124" s="32">
        <v>0.94565217391304346</v>
      </c>
      <c r="EG124" s="32">
        <v>0.95186335403726707</v>
      </c>
      <c r="EH124" s="32">
        <v>0.9580093312597201</v>
      </c>
      <c r="EI124" s="32">
        <v>0.96273291925465843</v>
      </c>
      <c r="EJ124" s="32">
        <v>0.95186335403726707</v>
      </c>
      <c r="EK124" s="32">
        <v>0.94565217391304346</v>
      </c>
      <c r="EL124" s="32">
        <v>0.94564285921279068</v>
      </c>
    </row>
    <row r="125" spans="38:142" x14ac:dyDescent="0.25">
      <c r="AL125" s="19" t="s">
        <v>173</v>
      </c>
      <c r="AM125" s="32">
        <v>0.96494992846924177</v>
      </c>
      <c r="AN125" s="32">
        <v>0.97138769670958514</v>
      </c>
      <c r="AO125" s="32">
        <v>0.97210300429184548</v>
      </c>
      <c r="AP125" s="32">
        <v>0.96713286713286717</v>
      </c>
      <c r="AQ125" s="32">
        <v>0.97711015736766804</v>
      </c>
      <c r="AR125" s="32">
        <v>0.9792560801144492</v>
      </c>
      <c r="AS125" s="32">
        <v>0.97997138769670955</v>
      </c>
      <c r="AT125" s="32">
        <v>0.97313016025462384</v>
      </c>
      <c r="AU125" s="32">
        <v>0.95174825174825173</v>
      </c>
      <c r="AV125" s="32">
        <v>0.96363636363636362</v>
      </c>
      <c r="AW125" s="32">
        <v>0.96013986013986019</v>
      </c>
      <c r="AX125" s="32">
        <v>0.96783216783216786</v>
      </c>
      <c r="AY125" s="32">
        <v>0.95454545454545459</v>
      </c>
      <c r="AZ125" s="32">
        <v>0.95664335664335665</v>
      </c>
      <c r="BA125" s="32">
        <v>0.96293706293706294</v>
      </c>
      <c r="BB125" s="32">
        <v>0.95964035964035976</v>
      </c>
      <c r="BC125" s="32">
        <v>0.95337508698677798</v>
      </c>
      <c r="BD125" s="32">
        <v>0.96736111111111112</v>
      </c>
      <c r="BE125" s="32">
        <v>0.95128740431454417</v>
      </c>
      <c r="BF125" s="32">
        <v>0.95198329853862218</v>
      </c>
      <c r="BG125" s="32">
        <v>0.94722222222222219</v>
      </c>
      <c r="BH125" s="32">
        <v>0.96111111111111114</v>
      </c>
      <c r="BI125" s="32">
        <v>0.96319444444444446</v>
      </c>
      <c r="BJ125" s="32">
        <v>0.95650495410411907</v>
      </c>
      <c r="BK125" s="32">
        <v>0.9234516353514266</v>
      </c>
      <c r="BL125" s="32">
        <v>0.93459915611814348</v>
      </c>
      <c r="BM125" s="32">
        <v>0.94015309672929714</v>
      </c>
      <c r="BN125" s="32">
        <v>0.95198329853862218</v>
      </c>
      <c r="BO125" s="32">
        <v>0.92475386779184243</v>
      </c>
      <c r="BP125" s="32">
        <v>0.88115330520393809</v>
      </c>
      <c r="BQ125" s="32">
        <v>0.89873417721518989</v>
      </c>
      <c r="BR125" s="32">
        <v>0.92211836242120859</v>
      </c>
      <c r="BS125" s="32">
        <v>0.96381350034794711</v>
      </c>
      <c r="BT125" s="32">
        <v>0.95755045233124569</v>
      </c>
      <c r="BU125" s="32">
        <v>0.98260264439805145</v>
      </c>
      <c r="BV125" s="32">
        <v>0.97077244258872653</v>
      </c>
      <c r="BW125" s="32">
        <v>0.9603340292275574</v>
      </c>
      <c r="BX125" s="32">
        <v>0.94850382741823247</v>
      </c>
      <c r="BY125" s="32">
        <v>0.95894224077940149</v>
      </c>
      <c r="BZ125" s="32">
        <v>0.96321701958445161</v>
      </c>
      <c r="CA125" s="32">
        <v>0.95755045233124569</v>
      </c>
      <c r="CB125" s="32">
        <v>0.97425191370911624</v>
      </c>
      <c r="CC125" s="32">
        <v>0.96381350034794711</v>
      </c>
      <c r="CD125" s="32">
        <v>0.9617258176757133</v>
      </c>
      <c r="CE125" s="32">
        <v>0.97425191370911624</v>
      </c>
      <c r="CF125" s="32">
        <v>0.96938065414057062</v>
      </c>
      <c r="CG125" s="32">
        <v>0.96938065414057062</v>
      </c>
      <c r="CH125" s="32">
        <v>0.96719355800775431</v>
      </c>
      <c r="CI125" s="32">
        <v>0.9610299234516354</v>
      </c>
      <c r="CJ125" s="32">
        <v>0.96520528879610301</v>
      </c>
      <c r="CK125" s="32">
        <v>0.97007654836464863</v>
      </c>
      <c r="CL125" s="32">
        <v>0.97425191370911624</v>
      </c>
      <c r="CM125" s="32">
        <v>0.96520528879610301</v>
      </c>
      <c r="CN125" s="32">
        <v>0.96798886569241471</v>
      </c>
      <c r="CO125" s="32">
        <v>0.96659707724425892</v>
      </c>
      <c r="CP125" s="32">
        <v>0.96719355800775431</v>
      </c>
      <c r="CQ125" s="32">
        <v>0.92832289491997222</v>
      </c>
      <c r="CR125" s="32">
        <v>0.964509394572025</v>
      </c>
      <c r="CS125" s="32">
        <v>0.94363256784968685</v>
      </c>
      <c r="CT125" s="32">
        <v>0.95198329853862218</v>
      </c>
      <c r="CU125" s="32">
        <v>0.94084899095337504</v>
      </c>
      <c r="CV125" s="32">
        <v>0.95407098121085598</v>
      </c>
      <c r="CW125" s="32">
        <v>0.94224077940153095</v>
      </c>
      <c r="CX125" s="32">
        <v>0.94651555820658129</v>
      </c>
      <c r="CY125" s="32">
        <v>0.94989561586638827</v>
      </c>
      <c r="CZ125" s="32">
        <v>0.9603340292275574</v>
      </c>
      <c r="DA125" s="32">
        <v>0.95546276965901178</v>
      </c>
      <c r="DB125" s="32">
        <v>0.95755045233124569</v>
      </c>
      <c r="DC125" s="32">
        <v>0.95059151009046627</v>
      </c>
      <c r="DD125" s="32">
        <v>0.96381350034794711</v>
      </c>
      <c r="DE125" s="32">
        <v>0.95546276965901178</v>
      </c>
      <c r="DF125" s="32">
        <v>0.9561586638830899</v>
      </c>
      <c r="DG125" s="32">
        <v>0.95454545454545459</v>
      </c>
      <c r="DH125" s="32">
        <v>0.96853146853146854</v>
      </c>
      <c r="DI125" s="32">
        <v>0.965034965034965</v>
      </c>
      <c r="DJ125" s="32">
        <v>0.97132867132867129</v>
      </c>
      <c r="DK125" s="32">
        <v>0.94965034965034967</v>
      </c>
      <c r="DL125" s="32">
        <v>0.96013986013986019</v>
      </c>
      <c r="DM125" s="32">
        <v>0.95804195804195802</v>
      </c>
      <c r="DN125" s="32">
        <v>0.96103896103896103</v>
      </c>
      <c r="DO125" s="32">
        <v>0.96223776223776225</v>
      </c>
      <c r="DP125" s="32">
        <v>0.96713286713286717</v>
      </c>
      <c r="DQ125" s="32">
        <v>0.9538461538461539</v>
      </c>
      <c r="DR125" s="32">
        <v>0.95734265734265733</v>
      </c>
      <c r="DS125" s="32">
        <v>0.95874125874125871</v>
      </c>
      <c r="DT125" s="32">
        <v>0.96923076923076923</v>
      </c>
      <c r="DU125" s="32">
        <v>0.96993006993006992</v>
      </c>
      <c r="DV125" s="32">
        <v>0.96263736263736266</v>
      </c>
      <c r="DW125" s="32">
        <v>0.94755244755244761</v>
      </c>
      <c r="DX125" s="32">
        <v>0.97412587412587415</v>
      </c>
      <c r="DY125" s="32">
        <v>0.95174825174825173</v>
      </c>
      <c r="DZ125" s="32">
        <v>0.9706293706293706</v>
      </c>
      <c r="EA125" s="32">
        <v>0.95594405594405596</v>
      </c>
      <c r="EB125" s="32">
        <v>0.96783216783216786</v>
      </c>
      <c r="EC125" s="32">
        <v>0.96923076923076923</v>
      </c>
      <c r="ED125" s="32">
        <v>0.96243756243756251</v>
      </c>
      <c r="EE125" s="32">
        <v>0.9538461538461539</v>
      </c>
      <c r="EF125" s="32">
        <v>0.96573426573426568</v>
      </c>
      <c r="EG125" s="32">
        <v>0.96783216783216786</v>
      </c>
      <c r="EH125" s="32">
        <v>0.97342657342657346</v>
      </c>
      <c r="EI125" s="32">
        <v>0.96713286713286717</v>
      </c>
      <c r="EJ125" s="32">
        <v>0.95664335664335665</v>
      </c>
      <c r="EK125" s="32">
        <v>0.96153846153846156</v>
      </c>
      <c r="EL125" s="32">
        <v>0.96373626373626387</v>
      </c>
    </row>
    <row r="126" spans="38:142" x14ac:dyDescent="0.25">
      <c r="AL126" s="19" t="s">
        <v>236</v>
      </c>
      <c r="AM126" s="32">
        <v>0.98212157330154948</v>
      </c>
      <c r="AN126" s="32">
        <v>0.99288256227758009</v>
      </c>
      <c r="AO126" s="32">
        <v>0.98315282791817082</v>
      </c>
      <c r="AP126" s="32">
        <v>0.99169632265717678</v>
      </c>
      <c r="AQ126" s="32">
        <v>0.99051008303677346</v>
      </c>
      <c r="AR126" s="32">
        <v>0.98809523809523814</v>
      </c>
      <c r="AS126" s="32">
        <v>0.99162679425837319</v>
      </c>
      <c r="AT126" s="32">
        <v>0.98858362879212314</v>
      </c>
      <c r="AU126" s="32">
        <v>0.96547619047619049</v>
      </c>
      <c r="AV126" s="32">
        <v>0.99646226415094341</v>
      </c>
      <c r="AW126" s="32">
        <v>0.96543504171632899</v>
      </c>
      <c r="AX126" s="32">
        <v>0.97633136094674555</v>
      </c>
      <c r="AY126" s="32">
        <v>0.99644970414201184</v>
      </c>
      <c r="AZ126" s="32">
        <v>0.99761051373954601</v>
      </c>
      <c r="BA126" s="32">
        <v>0.99404052443384983</v>
      </c>
      <c r="BB126" s="32">
        <v>0.98454365708651648</v>
      </c>
      <c r="BC126" s="32">
        <v>0.9772182254196643</v>
      </c>
      <c r="BD126" s="32">
        <v>0.98714953271028039</v>
      </c>
      <c r="BE126" s="32">
        <v>0.95438175270108039</v>
      </c>
      <c r="BF126" s="32">
        <v>0.9926108374384236</v>
      </c>
      <c r="BG126" s="32">
        <v>0.9893111638954869</v>
      </c>
      <c r="BH126" s="32">
        <v>0.98110979929161746</v>
      </c>
      <c r="BI126" s="32">
        <v>0.99054373522458627</v>
      </c>
      <c r="BJ126" s="32">
        <v>0.98176072095444844</v>
      </c>
      <c r="BK126" s="32">
        <v>0.96538936959208899</v>
      </c>
      <c r="BL126" s="32">
        <v>0.964329643296433</v>
      </c>
      <c r="BM126" s="32">
        <v>0.98525798525798525</v>
      </c>
      <c r="BN126" s="32">
        <v>0.99416569428238044</v>
      </c>
      <c r="BO126" s="32">
        <v>0.95744680851063835</v>
      </c>
      <c r="BP126" s="32">
        <v>0.88520408163265307</v>
      </c>
      <c r="BQ126" s="32">
        <v>0.90759493670886071</v>
      </c>
      <c r="BR126" s="32">
        <v>0.95134121704014862</v>
      </c>
      <c r="BS126" s="32">
        <v>0.98443113772455093</v>
      </c>
      <c r="BT126" s="32">
        <v>0.99532710280373837</v>
      </c>
      <c r="BU126" s="32">
        <v>0.98327359617682197</v>
      </c>
      <c r="BV126" s="32">
        <v>0.99411764705882355</v>
      </c>
      <c r="BW126" s="32">
        <v>0.98584905660377353</v>
      </c>
      <c r="BX126" s="32">
        <v>0.96721311475409832</v>
      </c>
      <c r="BY126" s="32">
        <v>0.97738095238095235</v>
      </c>
      <c r="BZ126" s="32">
        <v>0.98394180107182272</v>
      </c>
      <c r="CA126" s="32">
        <v>0.98813760379596682</v>
      </c>
      <c r="CB126" s="32">
        <v>0.99766081871345025</v>
      </c>
      <c r="CC126" s="32">
        <v>0.98470588235294121</v>
      </c>
      <c r="CD126" s="32">
        <v>0.994131455399061</v>
      </c>
      <c r="CE126" s="32">
        <v>0.99639423076923073</v>
      </c>
      <c r="CF126" s="32">
        <v>0.98827667057444313</v>
      </c>
      <c r="CG126" s="32">
        <v>0.99057714958775034</v>
      </c>
      <c r="CH126" s="32">
        <v>0.99141197302754913</v>
      </c>
      <c r="CI126" s="32">
        <v>0.98086124401913877</v>
      </c>
      <c r="CJ126" s="32">
        <v>0.99766627771295213</v>
      </c>
      <c r="CK126" s="32">
        <v>0.97978596908442328</v>
      </c>
      <c r="CL126" s="32">
        <v>0.99292452830188682</v>
      </c>
      <c r="CM126" s="32">
        <v>0.96600234466588508</v>
      </c>
      <c r="CN126" s="32">
        <v>0.9883449883449883</v>
      </c>
      <c r="CO126" s="32">
        <v>0.99181286549707603</v>
      </c>
      <c r="CP126" s="32">
        <v>0.98534260251805006</v>
      </c>
      <c r="CQ126" s="32">
        <v>0.98446833930704902</v>
      </c>
      <c r="CR126" s="32">
        <v>0.99533255542590426</v>
      </c>
      <c r="CS126" s="32">
        <v>0.98203592814371254</v>
      </c>
      <c r="CT126" s="32">
        <v>0.98707403055229137</v>
      </c>
      <c r="CU126" s="32">
        <v>0.99170616113744081</v>
      </c>
      <c r="CV126" s="32">
        <v>0.99531066822977721</v>
      </c>
      <c r="CW126" s="32">
        <v>0.99296600234466592</v>
      </c>
      <c r="CX126" s="32">
        <v>0.98984195502012007</v>
      </c>
      <c r="CY126" s="32">
        <v>0.99046483909415972</v>
      </c>
      <c r="CZ126" s="32">
        <v>0.98939929328621912</v>
      </c>
      <c r="DA126" s="32">
        <v>0.99056603773584906</v>
      </c>
      <c r="DB126" s="32">
        <v>0.99411764705882355</v>
      </c>
      <c r="DC126" s="32">
        <v>0.99044205495818394</v>
      </c>
      <c r="DD126" s="32">
        <v>0.99529964747356048</v>
      </c>
      <c r="DE126" s="32">
        <v>0.99763313609467452</v>
      </c>
      <c r="DF126" s="32">
        <v>0.99256037938592434</v>
      </c>
      <c r="DG126" s="32">
        <v>0.98701298701298701</v>
      </c>
      <c r="DH126" s="32">
        <v>0.99294117647058822</v>
      </c>
      <c r="DI126" s="32">
        <v>0.99293286219081267</v>
      </c>
      <c r="DJ126" s="32">
        <v>0.99411071849234389</v>
      </c>
      <c r="DK126" s="32">
        <v>0.99294117647058822</v>
      </c>
      <c r="DL126" s="32">
        <v>0.99882491186839018</v>
      </c>
      <c r="DM126" s="32">
        <v>0.99764705882352944</v>
      </c>
      <c r="DN126" s="32">
        <v>0.99377298447560569</v>
      </c>
      <c r="DO126" s="32">
        <v>0.9714625445897741</v>
      </c>
      <c r="DP126" s="32">
        <v>0.99412455934195065</v>
      </c>
      <c r="DQ126" s="32">
        <v>0.97627520759193354</v>
      </c>
      <c r="DR126" s="32">
        <v>0.99764982373678024</v>
      </c>
      <c r="DS126" s="32">
        <v>0.98470588235294121</v>
      </c>
      <c r="DT126" s="32">
        <v>0.99067599067599066</v>
      </c>
      <c r="DU126" s="32">
        <v>0.98479532163742689</v>
      </c>
      <c r="DV126" s="32">
        <v>0.9856699042752568</v>
      </c>
      <c r="DW126" s="32">
        <v>0.97759433962264153</v>
      </c>
      <c r="DX126" s="32">
        <v>0.99531066822977721</v>
      </c>
      <c r="DY126" s="32">
        <v>0.97988165680473371</v>
      </c>
      <c r="DZ126" s="32">
        <v>0.97546728971962615</v>
      </c>
      <c r="EA126" s="32">
        <v>0.99527186761229314</v>
      </c>
      <c r="EB126" s="32">
        <v>0.99765807962529274</v>
      </c>
      <c r="EC126" s="32">
        <v>0.99411071849234389</v>
      </c>
      <c r="ED126" s="32">
        <v>0.98789923144381553</v>
      </c>
      <c r="EE126" s="32">
        <v>0.98366394399066515</v>
      </c>
      <c r="EF126" s="32">
        <v>0.99765258215962438</v>
      </c>
      <c r="EG126" s="32">
        <v>0.97065727699530513</v>
      </c>
      <c r="EH126" s="32">
        <v>0.9976553341148886</v>
      </c>
      <c r="EI126" s="32">
        <v>0.99291617473435656</v>
      </c>
      <c r="EJ126" s="32">
        <v>0.99760765550239239</v>
      </c>
      <c r="EK126" s="32">
        <v>0.98698224852071004</v>
      </c>
      <c r="EL126" s="32">
        <v>0.98959074514542034</v>
      </c>
    </row>
    <row r="127" spans="38:142" x14ac:dyDescent="0.25">
      <c r="AL127" s="19" t="s">
        <v>174</v>
      </c>
      <c r="AM127" s="32">
        <v>0.98454746136865345</v>
      </c>
      <c r="AN127" s="32">
        <v>0.99128540305010893</v>
      </c>
      <c r="AO127" s="32">
        <v>0.98886414253897548</v>
      </c>
      <c r="AP127" s="32">
        <v>1</v>
      </c>
      <c r="AQ127" s="32">
        <v>1</v>
      </c>
      <c r="AR127" s="32">
        <v>0.99569892473118282</v>
      </c>
      <c r="AS127" s="32">
        <v>1</v>
      </c>
      <c r="AT127" s="32">
        <v>0.99434227595556013</v>
      </c>
      <c r="AU127" s="32">
        <v>0.98194130925507905</v>
      </c>
      <c r="AV127" s="32">
        <v>0.99572649572649574</v>
      </c>
      <c r="AW127" s="32">
        <v>0.98181818181818181</v>
      </c>
      <c r="AX127" s="32">
        <v>1</v>
      </c>
      <c r="AY127" s="32">
        <v>1</v>
      </c>
      <c r="AZ127" s="32">
        <v>0.99784017278617709</v>
      </c>
      <c r="BA127" s="32">
        <v>1</v>
      </c>
      <c r="BB127" s="32">
        <v>0.99390373708370483</v>
      </c>
      <c r="BC127" s="32">
        <v>0.99773242630385484</v>
      </c>
      <c r="BD127" s="32">
        <v>0.99785407725321884</v>
      </c>
      <c r="BE127" s="32">
        <v>0.98190045248868774</v>
      </c>
      <c r="BF127" s="32">
        <v>0.99095022624434392</v>
      </c>
      <c r="BG127" s="32">
        <v>0.99325842696629218</v>
      </c>
      <c r="BH127" s="32">
        <v>1</v>
      </c>
      <c r="BI127" s="32">
        <v>0.98654708520179368</v>
      </c>
      <c r="BJ127" s="32">
        <v>0.992606099208313</v>
      </c>
      <c r="BK127" s="32">
        <v>0.99103139013452912</v>
      </c>
      <c r="BL127" s="32">
        <v>0.99322799097065462</v>
      </c>
      <c r="BM127" s="32">
        <v>0.98218262806236079</v>
      </c>
      <c r="BN127" s="32">
        <v>0.98905908096280093</v>
      </c>
      <c r="BO127" s="32">
        <v>0.98423423423423428</v>
      </c>
      <c r="BP127" s="32">
        <v>0.95823665893271459</v>
      </c>
      <c r="BQ127" s="32">
        <v>0.9814385150812065</v>
      </c>
      <c r="BR127" s="32">
        <v>0.98277292833978591</v>
      </c>
      <c r="BS127" s="32">
        <v>0.99569892473118282</v>
      </c>
      <c r="BT127" s="32">
        <v>0.99785867237687365</v>
      </c>
      <c r="BU127" s="32">
        <v>0.98922413793103448</v>
      </c>
      <c r="BV127" s="32">
        <v>0.99789473684210528</v>
      </c>
      <c r="BW127" s="32">
        <v>0.99785407725321884</v>
      </c>
      <c r="BX127" s="32">
        <v>0.9913419913419913</v>
      </c>
      <c r="BY127" s="32">
        <v>1</v>
      </c>
      <c r="BZ127" s="32">
        <v>0.99569607721091524</v>
      </c>
      <c r="CA127" s="32">
        <v>0.99782608695652175</v>
      </c>
      <c r="CB127" s="32">
        <v>0.99787685774946921</v>
      </c>
      <c r="CC127" s="32">
        <v>0.99786780383795304</v>
      </c>
      <c r="CD127" s="32">
        <v>1</v>
      </c>
      <c r="CE127" s="32">
        <v>1</v>
      </c>
      <c r="CF127" s="32">
        <v>0.99350649350649356</v>
      </c>
      <c r="CG127" s="32">
        <v>1</v>
      </c>
      <c r="CH127" s="32">
        <v>0.99815389172149105</v>
      </c>
      <c r="CI127" s="32">
        <v>0.96853932584269664</v>
      </c>
      <c r="CJ127" s="32">
        <v>1</v>
      </c>
      <c r="CK127" s="32">
        <v>0.99325842696629218</v>
      </c>
      <c r="CL127" s="32">
        <v>0.97078651685393258</v>
      </c>
      <c r="CM127" s="32">
        <v>0.97555555555555551</v>
      </c>
      <c r="CN127" s="32">
        <v>0.99124726477024072</v>
      </c>
      <c r="CO127" s="32">
        <v>0.99336283185840712</v>
      </c>
      <c r="CP127" s="32">
        <v>0.98467856026387501</v>
      </c>
      <c r="CQ127" s="32">
        <v>0.99088838268792712</v>
      </c>
      <c r="CR127" s="32">
        <v>0.99333333333333329</v>
      </c>
      <c r="CS127" s="32">
        <v>0.99773755656108598</v>
      </c>
      <c r="CT127" s="32">
        <v>0.99780219780219781</v>
      </c>
      <c r="CU127" s="32">
        <v>0.98379629629629628</v>
      </c>
      <c r="CV127" s="32">
        <v>0.98419864559819414</v>
      </c>
      <c r="CW127" s="32">
        <v>0.96796338672768878</v>
      </c>
      <c r="CX127" s="32">
        <v>0.98795997128667479</v>
      </c>
      <c r="CY127" s="32">
        <v>0.99128540305010893</v>
      </c>
      <c r="CZ127" s="32">
        <v>0.99126637554585151</v>
      </c>
      <c r="DA127" s="32">
        <v>0.98249452954048144</v>
      </c>
      <c r="DB127" s="32">
        <v>0.99778761061946908</v>
      </c>
      <c r="DC127" s="32">
        <v>0.98669623059866962</v>
      </c>
      <c r="DD127" s="32">
        <v>0.99781659388646293</v>
      </c>
      <c r="DE127" s="32">
        <v>0.99333333333333329</v>
      </c>
      <c r="DF127" s="32">
        <v>0.99152572522491111</v>
      </c>
      <c r="DG127" s="32">
        <v>0.9866071428571429</v>
      </c>
      <c r="DH127" s="32">
        <v>0.9978070175438597</v>
      </c>
      <c r="DI127" s="32">
        <v>0.96846846846846846</v>
      </c>
      <c r="DJ127" s="32">
        <v>0.97072072072072069</v>
      </c>
      <c r="DK127" s="32">
        <v>0.98898678414096919</v>
      </c>
      <c r="DL127" s="32">
        <v>0.98675496688741726</v>
      </c>
      <c r="DM127" s="32">
        <v>0.99124726477024072</v>
      </c>
      <c r="DN127" s="32">
        <v>0.98437033791268835</v>
      </c>
      <c r="DO127" s="32">
        <v>0.96519721577726214</v>
      </c>
      <c r="DP127" s="32">
        <v>1</v>
      </c>
      <c r="DQ127" s="32">
        <v>0.97911832946635735</v>
      </c>
      <c r="DR127" s="32">
        <v>0.99067599067599066</v>
      </c>
      <c r="DS127" s="32">
        <v>0.96304849884526555</v>
      </c>
      <c r="DT127" s="32">
        <v>1</v>
      </c>
      <c r="DU127" s="32">
        <v>0.97945205479452058</v>
      </c>
      <c r="DV127" s="32">
        <v>0.9824988699370566</v>
      </c>
      <c r="DW127" s="32">
        <v>0.99550561797752812</v>
      </c>
      <c r="DX127" s="32">
        <v>0.99765807962529274</v>
      </c>
      <c r="DY127" s="32">
        <v>0.99771689497716898</v>
      </c>
      <c r="DZ127" s="32">
        <v>0.99334811529933487</v>
      </c>
      <c r="EA127" s="32">
        <v>0.99549549549549554</v>
      </c>
      <c r="EB127" s="32">
        <v>0.99308755760368661</v>
      </c>
      <c r="EC127" s="32">
        <v>0.99547511312217196</v>
      </c>
      <c r="ED127" s="32">
        <v>0.99546955344295396</v>
      </c>
      <c r="EE127" s="32">
        <v>0.98160919540229885</v>
      </c>
      <c r="EF127" s="32">
        <v>1</v>
      </c>
      <c r="EG127" s="32">
        <v>0.98623853211009171</v>
      </c>
      <c r="EH127" s="32">
        <v>0.98898678414096919</v>
      </c>
      <c r="EI127" s="32">
        <v>0.99331848552338531</v>
      </c>
      <c r="EJ127" s="32">
        <v>0.99778270509977829</v>
      </c>
      <c r="EK127" s="32">
        <v>0.99115044247787609</v>
      </c>
      <c r="EL127" s="32">
        <v>0.99129802067919992</v>
      </c>
    </row>
    <row r="128" spans="38:142" x14ac:dyDescent="0.25">
      <c r="AL128" s="19" t="s">
        <v>175</v>
      </c>
      <c r="AM128" s="32">
        <v>0.93950850661625707</v>
      </c>
      <c r="AN128" s="32">
        <v>0.90994371482176362</v>
      </c>
      <c r="AO128" s="32">
        <v>0.89622641509433965</v>
      </c>
      <c r="AP128" s="32">
        <v>0.90566037735849059</v>
      </c>
      <c r="AQ128" s="32">
        <v>0.93560606060606055</v>
      </c>
      <c r="AR128" s="32">
        <v>0.90636704119850187</v>
      </c>
      <c r="AS128" s="32">
        <v>0.93846153846153846</v>
      </c>
      <c r="AT128" s="32">
        <v>0.91882480773670749</v>
      </c>
      <c r="AU128" s="32">
        <v>0.90789473684210531</v>
      </c>
      <c r="AV128" s="32">
        <v>0.92321755027422303</v>
      </c>
      <c r="AW128" s="32">
        <v>0.90977443609022557</v>
      </c>
      <c r="AX128" s="32">
        <v>0.91758241758241754</v>
      </c>
      <c r="AY128" s="32">
        <v>0.93433395872420266</v>
      </c>
      <c r="AZ128" s="32">
        <v>0.92975970425138632</v>
      </c>
      <c r="BA128" s="32">
        <v>0.93572778827977321</v>
      </c>
      <c r="BB128" s="32">
        <v>0.92261294172061914</v>
      </c>
      <c r="BC128" s="32">
        <v>0.87184466019417473</v>
      </c>
      <c r="BD128" s="32">
        <v>0.91651205936920221</v>
      </c>
      <c r="BE128" s="32">
        <v>0.87642585551330798</v>
      </c>
      <c r="BF128" s="32">
        <v>0.90576923076923077</v>
      </c>
      <c r="BG128" s="32">
        <v>0.87901701323251413</v>
      </c>
      <c r="BH128" s="32">
        <v>0.91401869158878501</v>
      </c>
      <c r="BI128" s="32">
        <v>0.92222222222222228</v>
      </c>
      <c r="BJ128" s="32">
        <v>0.89797281898420522</v>
      </c>
      <c r="BK128" s="32">
        <v>0.86832061068702293</v>
      </c>
      <c r="BL128" s="32">
        <v>0.85436893203883491</v>
      </c>
      <c r="BM128" s="32">
        <v>0.88126159554730987</v>
      </c>
      <c r="BN128" s="32">
        <v>0.88929219600725951</v>
      </c>
      <c r="BO128" s="32">
        <v>0.87058823529411766</v>
      </c>
      <c r="BP128" s="32">
        <v>0.77362204724409445</v>
      </c>
      <c r="BQ128" s="32">
        <v>0.82051282051282048</v>
      </c>
      <c r="BR128" s="32">
        <v>0.85113806247592283</v>
      </c>
      <c r="BS128" s="32">
        <v>0.86329588014981273</v>
      </c>
      <c r="BT128" s="32">
        <v>0.89031078610603287</v>
      </c>
      <c r="BU128" s="32">
        <v>0.9196261682242991</v>
      </c>
      <c r="BV128" s="32">
        <v>0.91123188405797106</v>
      </c>
      <c r="BW128" s="32">
        <v>0.89852398523985244</v>
      </c>
      <c r="BX128" s="32">
        <v>0.87382297551789079</v>
      </c>
      <c r="BY128" s="32">
        <v>0.91143911439114389</v>
      </c>
      <c r="BZ128" s="32">
        <v>0.89546439909814335</v>
      </c>
      <c r="CA128" s="32">
        <v>0.89114391143911442</v>
      </c>
      <c r="CB128" s="32">
        <v>0.92504570383912244</v>
      </c>
      <c r="CC128" s="32">
        <v>0.8833333333333333</v>
      </c>
      <c r="CD128" s="32">
        <v>0.91896869244935542</v>
      </c>
      <c r="CE128" s="32">
        <v>0.91074681238615662</v>
      </c>
      <c r="CF128" s="32">
        <v>0.90647482014388492</v>
      </c>
      <c r="CG128" s="32">
        <v>0.91304347826086951</v>
      </c>
      <c r="CH128" s="32">
        <v>0.906965250264548</v>
      </c>
      <c r="CI128" s="32">
        <v>0.88598130841121492</v>
      </c>
      <c r="CJ128" s="32">
        <v>0.93536804308797128</v>
      </c>
      <c r="CK128" s="32">
        <v>0.88602941176470584</v>
      </c>
      <c r="CL128" s="32">
        <v>0.91592128801431127</v>
      </c>
      <c r="CM128" s="32">
        <v>0.93670886075949367</v>
      </c>
      <c r="CN128" s="32">
        <v>0.91155234657039708</v>
      </c>
      <c r="CO128" s="32">
        <v>0.93065693430656937</v>
      </c>
      <c r="CP128" s="32">
        <v>0.91460259898780905</v>
      </c>
      <c r="CQ128" s="32">
        <v>0.949438202247191</v>
      </c>
      <c r="CR128" s="32">
        <v>0.92486583184257598</v>
      </c>
      <c r="CS128" s="32">
        <v>0.891588785046729</v>
      </c>
      <c r="CT128" s="32">
        <v>0.92500000000000004</v>
      </c>
      <c r="CU128" s="32">
        <v>0.91208791208791207</v>
      </c>
      <c r="CV128" s="32">
        <v>0.91423357664233573</v>
      </c>
      <c r="CW128" s="32">
        <v>0.93490054249547916</v>
      </c>
      <c r="CX128" s="32">
        <v>0.92173069290888898</v>
      </c>
      <c r="CY128" s="32">
        <v>0.89667896678966785</v>
      </c>
      <c r="CZ128" s="32">
        <v>0.91756272401433692</v>
      </c>
      <c r="DA128" s="32">
        <v>0.89532710280373828</v>
      </c>
      <c r="DB128" s="32">
        <v>0.91039426523297495</v>
      </c>
      <c r="DC128" s="32">
        <v>0.93345656192236603</v>
      </c>
      <c r="DD128" s="32">
        <v>0.90293040293040294</v>
      </c>
      <c r="DE128" s="32">
        <v>0.94990723562152135</v>
      </c>
      <c r="DF128" s="32">
        <v>0.91517960847357249</v>
      </c>
      <c r="DG128" s="32">
        <v>0.86440677966101698</v>
      </c>
      <c r="DH128" s="32">
        <v>0.90664272890484743</v>
      </c>
      <c r="DI128" s="32">
        <v>0.8820224719101124</v>
      </c>
      <c r="DJ128" s="32">
        <v>0.88785046728971961</v>
      </c>
      <c r="DK128" s="32">
        <v>0.92682926829268297</v>
      </c>
      <c r="DL128" s="32">
        <v>0.8957169459962756</v>
      </c>
      <c r="DM128" s="32">
        <v>0.93053016453382087</v>
      </c>
      <c r="DN128" s="32">
        <v>0.89914268951263943</v>
      </c>
      <c r="DO128" s="32">
        <v>0.87382297551789079</v>
      </c>
      <c r="DP128" s="32">
        <v>0.91214953271028032</v>
      </c>
      <c r="DQ128" s="32">
        <v>0.87382297551789079</v>
      </c>
      <c r="DR128" s="32">
        <v>0.8721804511278195</v>
      </c>
      <c r="DS128" s="32">
        <v>0.88742964352720455</v>
      </c>
      <c r="DT128" s="32">
        <v>0.87570621468926557</v>
      </c>
      <c r="DU128" s="32">
        <v>0.8934579439252337</v>
      </c>
      <c r="DV128" s="32">
        <v>0.88408139100222649</v>
      </c>
      <c r="DW128" s="32">
        <v>0.86440677966101698</v>
      </c>
      <c r="DX128" s="32">
        <v>0.89906542056074767</v>
      </c>
      <c r="DY128" s="32">
        <v>0.8832391713747646</v>
      </c>
      <c r="DZ128" s="32">
        <v>0.9059674502712477</v>
      </c>
      <c r="EA128" s="32">
        <v>0.89305816135084426</v>
      </c>
      <c r="EB128" s="32">
        <v>0.89199255121042831</v>
      </c>
      <c r="EC128" s="32">
        <v>0.9213483146067416</v>
      </c>
      <c r="ED128" s="32">
        <v>0.89415397843368449</v>
      </c>
      <c r="EE128" s="32">
        <v>0.90225563909774431</v>
      </c>
      <c r="EF128" s="32">
        <v>0.93466424682395643</v>
      </c>
      <c r="EG128" s="32">
        <v>0.92519685039370081</v>
      </c>
      <c r="EH128" s="32">
        <v>0.90280373831775695</v>
      </c>
      <c r="EI128" s="32">
        <v>0.91028037383177574</v>
      </c>
      <c r="EJ128" s="32">
        <v>0.9299820466786356</v>
      </c>
      <c r="EK128" s="32">
        <v>0.94404332129963897</v>
      </c>
      <c r="EL128" s="32">
        <v>0.9213180309204585</v>
      </c>
    </row>
    <row r="129" spans="38:142" x14ac:dyDescent="0.25">
      <c r="AL129" s="19" t="s">
        <v>176</v>
      </c>
      <c r="AM129" s="32">
        <v>0.88541666666666663</v>
      </c>
      <c r="AN129" s="32">
        <v>0.8967065868263473</v>
      </c>
      <c r="AO129" s="32">
        <v>0.90990990990990994</v>
      </c>
      <c r="AP129" s="32">
        <v>0.9151785714285714</v>
      </c>
      <c r="AQ129" s="32">
        <v>0.8995502248875562</v>
      </c>
      <c r="AR129" s="32">
        <v>0.90298507462686572</v>
      </c>
      <c r="AS129" s="32">
        <v>0.89441930618401211</v>
      </c>
      <c r="AT129" s="32">
        <v>0.90059519150427558</v>
      </c>
      <c r="AU129" s="32">
        <v>0.90134529147982068</v>
      </c>
      <c r="AV129" s="32">
        <v>0.94790159189580314</v>
      </c>
      <c r="AW129" s="32">
        <v>0.89205397301349321</v>
      </c>
      <c r="AX129" s="32">
        <v>0.91470588235294115</v>
      </c>
      <c r="AY129" s="32">
        <v>0.93195266272189348</v>
      </c>
      <c r="AZ129" s="32">
        <v>0.88500727802037849</v>
      </c>
      <c r="BA129" s="32">
        <v>0.94682422451994097</v>
      </c>
      <c r="BB129" s="32">
        <v>0.91711298628632432</v>
      </c>
      <c r="BC129" s="32">
        <v>0.9</v>
      </c>
      <c r="BD129" s="32">
        <v>0.93961708394698085</v>
      </c>
      <c r="BE129" s="32">
        <v>0.84170471841704719</v>
      </c>
      <c r="BF129" s="32">
        <v>0.89160305343511448</v>
      </c>
      <c r="BG129" s="32">
        <v>0.9088235294117647</v>
      </c>
      <c r="BH129" s="32">
        <v>0.93274853801169588</v>
      </c>
      <c r="BI129" s="32">
        <v>0.92898550724637685</v>
      </c>
      <c r="BJ129" s="32">
        <v>0.90621177578128298</v>
      </c>
      <c r="BK129" s="32">
        <v>0.92867540029112083</v>
      </c>
      <c r="BL129" s="32">
        <v>0.8952959028831563</v>
      </c>
      <c r="BM129" s="32">
        <v>0.91727140783744554</v>
      </c>
      <c r="BN129" s="32">
        <v>0.93521126760563378</v>
      </c>
      <c r="BO129" s="32">
        <v>0.88971684053651268</v>
      </c>
      <c r="BP129" s="32">
        <v>0.83890577507598785</v>
      </c>
      <c r="BQ129" s="32">
        <v>0.86349693251533743</v>
      </c>
      <c r="BR129" s="32">
        <v>0.89551050382074204</v>
      </c>
      <c r="BS129" s="32">
        <v>0.93073593073593075</v>
      </c>
      <c r="BT129" s="32">
        <v>0.92806770098730607</v>
      </c>
      <c r="BU129" s="32">
        <v>0.9170243204577968</v>
      </c>
      <c r="BV129" s="32">
        <v>0.91857142857142859</v>
      </c>
      <c r="BW129" s="32">
        <v>0.93266475644699143</v>
      </c>
      <c r="BX129" s="32">
        <v>0.9258160237388724</v>
      </c>
      <c r="BY129" s="32">
        <v>0.914651493598862</v>
      </c>
      <c r="BZ129" s="32">
        <v>0.92393309350531261</v>
      </c>
      <c r="CA129" s="32">
        <v>0.91532846715328464</v>
      </c>
      <c r="CB129" s="32">
        <v>0.93175487465181062</v>
      </c>
      <c r="CC129" s="32">
        <v>0.93113342898134865</v>
      </c>
      <c r="CD129" s="32">
        <v>0.93009985734664768</v>
      </c>
      <c r="CE129" s="32">
        <v>0.93741109530583211</v>
      </c>
      <c r="CF129" s="32">
        <v>0.93871866295264628</v>
      </c>
      <c r="CG129" s="32">
        <v>0.92405063291139244</v>
      </c>
      <c r="CH129" s="32">
        <v>0.9297852884718516</v>
      </c>
      <c r="CI129" s="32">
        <v>0.91863905325443784</v>
      </c>
      <c r="CJ129" s="32">
        <v>0.9648876404494382</v>
      </c>
      <c r="CK129" s="32">
        <v>0.91297935103244843</v>
      </c>
      <c r="CL129" s="32">
        <v>0.93313953488372092</v>
      </c>
      <c r="CM129" s="32">
        <v>0.9113018597997139</v>
      </c>
      <c r="CN129" s="32">
        <v>0.94318181818181823</v>
      </c>
      <c r="CO129" s="32">
        <v>0.91619318181818177</v>
      </c>
      <c r="CP129" s="32">
        <v>0.92861749134567995</v>
      </c>
      <c r="CQ129" s="32">
        <v>0.93401759530791784</v>
      </c>
      <c r="CR129" s="32">
        <v>0.93623188405797098</v>
      </c>
      <c r="CS129" s="32">
        <v>0.94117647058823528</v>
      </c>
      <c r="CT129" s="32">
        <v>0.91583452211126959</v>
      </c>
      <c r="CU129" s="32">
        <v>0.93956834532374101</v>
      </c>
      <c r="CV129" s="32">
        <v>0.92753623188405798</v>
      </c>
      <c r="CW129" s="32">
        <v>0.93795093795093798</v>
      </c>
      <c r="CX129" s="32">
        <v>0.93318799817487574</v>
      </c>
      <c r="CY129" s="32">
        <v>0.94395280235988199</v>
      </c>
      <c r="CZ129" s="32">
        <v>0.93635077793493637</v>
      </c>
      <c r="DA129" s="32">
        <v>0.94264705882352939</v>
      </c>
      <c r="DB129" s="32">
        <v>0.93371757925072041</v>
      </c>
      <c r="DC129" s="32">
        <v>0.92804698972099853</v>
      </c>
      <c r="DD129" s="32">
        <v>0.9295977011494253</v>
      </c>
      <c r="DE129" s="32">
        <v>0.92040520984081042</v>
      </c>
      <c r="DF129" s="32">
        <v>0.93353115986861457</v>
      </c>
      <c r="DG129" s="32">
        <v>0.91495601173020524</v>
      </c>
      <c r="DH129" s="32">
        <v>0.94159544159544162</v>
      </c>
      <c r="DI129" s="32">
        <v>0.89580318379160639</v>
      </c>
      <c r="DJ129" s="32">
        <v>0.90387374461979919</v>
      </c>
      <c r="DK129" s="32">
        <v>0.90116279069767447</v>
      </c>
      <c r="DL129" s="32">
        <v>0.94571428571428573</v>
      </c>
      <c r="DM129" s="32">
        <v>0.91329479768786126</v>
      </c>
      <c r="DN129" s="32">
        <v>0.91662860797669643</v>
      </c>
      <c r="DO129" s="32">
        <v>0.9275147928994083</v>
      </c>
      <c r="DP129" s="32">
        <v>0.91994177583697234</v>
      </c>
      <c r="DQ129" s="32">
        <v>0.92388059701492542</v>
      </c>
      <c r="DR129" s="32">
        <v>0.9285714285714286</v>
      </c>
      <c r="DS129" s="32">
        <v>0.94674556213017746</v>
      </c>
      <c r="DT129" s="32">
        <v>0.93576642335766425</v>
      </c>
      <c r="DU129" s="32">
        <v>0.94100294985250732</v>
      </c>
      <c r="DV129" s="32">
        <v>0.93191764709472635</v>
      </c>
      <c r="DW129" s="32">
        <v>0.91654247391952315</v>
      </c>
      <c r="DX129" s="32">
        <v>0.92647058823529416</v>
      </c>
      <c r="DY129" s="32">
        <v>0.91220238095238093</v>
      </c>
      <c r="DZ129" s="32">
        <v>0.91137370753323488</v>
      </c>
      <c r="EA129" s="32">
        <v>0.93413173652694614</v>
      </c>
      <c r="EB129" s="32">
        <v>0.92171344165435742</v>
      </c>
      <c r="EC129" s="32">
        <v>0.92625368731563418</v>
      </c>
      <c r="ED129" s="32">
        <v>0.92124114516248157</v>
      </c>
      <c r="EE129" s="32">
        <v>0.92089552238805972</v>
      </c>
      <c r="EF129" s="32">
        <v>0.94690265486725667</v>
      </c>
      <c r="EG129" s="32">
        <v>0.89820359281437123</v>
      </c>
      <c r="EH129" s="32">
        <v>0.9</v>
      </c>
      <c r="EI129" s="32">
        <v>0.92364170337738616</v>
      </c>
      <c r="EJ129" s="32">
        <v>0.91458026509572898</v>
      </c>
      <c r="EK129" s="32">
        <v>0.93648449039881831</v>
      </c>
      <c r="EL129" s="32">
        <v>0.9201011755630889</v>
      </c>
    </row>
    <row r="130" spans="38:142" x14ac:dyDescent="0.25">
      <c r="AL130" s="19" t="s">
        <v>177</v>
      </c>
      <c r="AM130" s="32">
        <v>0.95632183908045976</v>
      </c>
      <c r="AN130" s="32">
        <v>0.99530516431924887</v>
      </c>
      <c r="AO130" s="32">
        <v>0.92201834862385323</v>
      </c>
      <c r="AP130" s="32">
        <v>0.96543778801843316</v>
      </c>
      <c r="AQ130" s="32">
        <v>0.97727272727272729</v>
      </c>
      <c r="AR130" s="32">
        <v>0.99063231850117095</v>
      </c>
      <c r="AS130" s="32">
        <v>0.95701357466063353</v>
      </c>
      <c r="AT130" s="32">
        <v>0.96628596578236092</v>
      </c>
      <c r="AU130" s="32">
        <v>0.95205479452054798</v>
      </c>
      <c r="AV130" s="32">
        <v>0.97241379310344822</v>
      </c>
      <c r="AW130" s="32">
        <v>0.98623853211009171</v>
      </c>
      <c r="AX130" s="32">
        <v>0.98633257403189067</v>
      </c>
      <c r="AY130" s="32">
        <v>0.96575342465753422</v>
      </c>
      <c r="AZ130" s="32">
        <v>0.96127562642369024</v>
      </c>
      <c r="BA130" s="32">
        <v>0.96781609195402296</v>
      </c>
      <c r="BB130" s="32">
        <v>0.97026926240017519</v>
      </c>
      <c r="BC130" s="32">
        <v>0.89534883720930236</v>
      </c>
      <c r="BD130" s="32">
        <v>1</v>
      </c>
      <c r="BE130" s="32">
        <v>0.93103448275862066</v>
      </c>
      <c r="BF130" s="32">
        <v>0.96127562642369024</v>
      </c>
      <c r="BG130" s="32">
        <v>0.94965675057208243</v>
      </c>
      <c r="BH130" s="32">
        <v>0.95078299776286357</v>
      </c>
      <c r="BI130" s="32">
        <v>0.94407158836689042</v>
      </c>
      <c r="BJ130" s="32">
        <v>0.94745289758477858</v>
      </c>
      <c r="BK130" s="32">
        <v>0.95681818181818179</v>
      </c>
      <c r="BL130" s="32">
        <v>0.9285714285714286</v>
      </c>
      <c r="BM130" s="32">
        <v>0.95681818181818179</v>
      </c>
      <c r="BN130" s="32">
        <v>0.9908675799086758</v>
      </c>
      <c r="BO130" s="32">
        <v>0.94748858447488582</v>
      </c>
      <c r="BP130" s="32">
        <v>0.80645161290322576</v>
      </c>
      <c r="BQ130" s="32">
        <v>0.85106382978723405</v>
      </c>
      <c r="BR130" s="32">
        <v>0.91972562846883044</v>
      </c>
      <c r="BS130" s="32">
        <v>0.96338672768878719</v>
      </c>
      <c r="BT130" s="32">
        <v>1</v>
      </c>
      <c r="BU130" s="32">
        <v>0.99092970521541945</v>
      </c>
      <c r="BV130" s="32">
        <v>0.99321266968325794</v>
      </c>
      <c r="BW130" s="32">
        <v>0.96650717703349287</v>
      </c>
      <c r="BX130" s="32">
        <v>0.96813725490196079</v>
      </c>
      <c r="BY130" s="32">
        <v>0.96473551637279598</v>
      </c>
      <c r="BZ130" s="32">
        <v>0.97812986441367333</v>
      </c>
      <c r="CA130" s="32">
        <v>0.94784580498866211</v>
      </c>
      <c r="CB130" s="32">
        <v>0.98416289592760176</v>
      </c>
      <c r="CC130" s="32">
        <v>0.92517006802721091</v>
      </c>
      <c r="CD130" s="32">
        <v>0.99090909090909096</v>
      </c>
      <c r="CE130" s="32">
        <v>0.97052154195011342</v>
      </c>
      <c r="CF130" s="32">
        <v>0.97511312217194568</v>
      </c>
      <c r="CG130" s="32">
        <v>0.99547511312217196</v>
      </c>
      <c r="CH130" s="32">
        <v>0.96988537672811403</v>
      </c>
      <c r="CI130" s="32">
        <v>0.95454545454545459</v>
      </c>
      <c r="CJ130" s="32">
        <v>0.97494305239179957</v>
      </c>
      <c r="CK130" s="32">
        <v>0.99092970521541945</v>
      </c>
      <c r="CL130" s="32">
        <v>0.97278911564625847</v>
      </c>
      <c r="CM130" s="32">
        <v>0.95454545454545459</v>
      </c>
      <c r="CN130" s="32">
        <v>0.99318181818181817</v>
      </c>
      <c r="CO130" s="32">
        <v>0.96355353075170846</v>
      </c>
      <c r="CP130" s="32">
        <v>0.97206973303970201</v>
      </c>
      <c r="CQ130" s="32">
        <v>0.93150684931506844</v>
      </c>
      <c r="CR130" s="32">
        <v>0.97727272727272729</v>
      </c>
      <c r="CS130" s="32">
        <v>0.9386363636363636</v>
      </c>
      <c r="CT130" s="32">
        <v>0.98177676537585423</v>
      </c>
      <c r="CU130" s="32">
        <v>0.97959183673469385</v>
      </c>
      <c r="CV130" s="32">
        <v>0.9795454545454545</v>
      </c>
      <c r="CW130" s="32">
        <v>0.96825396825396826</v>
      </c>
      <c r="CX130" s="32">
        <v>0.96522628073344718</v>
      </c>
      <c r="CY130" s="32">
        <v>0.9222462203023758</v>
      </c>
      <c r="CZ130" s="32">
        <v>0.98639455782312924</v>
      </c>
      <c r="DA130" s="32">
        <v>0.95175438596491224</v>
      </c>
      <c r="DB130" s="32">
        <v>0.97441364605543712</v>
      </c>
      <c r="DC130" s="32">
        <v>0.96320346320346317</v>
      </c>
      <c r="DD130" s="32">
        <v>0.98639455782312924</v>
      </c>
      <c r="DE130" s="32">
        <v>0.97402597402597402</v>
      </c>
      <c r="DF130" s="32">
        <v>0.96549040074263159</v>
      </c>
      <c r="DG130" s="32">
        <v>0.95833333333333337</v>
      </c>
      <c r="DH130" s="32">
        <v>0.97396963123644253</v>
      </c>
      <c r="DI130" s="32">
        <v>0.98657718120805371</v>
      </c>
      <c r="DJ130" s="32">
        <v>0.9869565217391304</v>
      </c>
      <c r="DK130" s="32">
        <v>0.99342105263157898</v>
      </c>
      <c r="DL130" s="32">
        <v>0.96963123644251625</v>
      </c>
      <c r="DM130" s="32">
        <v>0.97821350762527237</v>
      </c>
      <c r="DN130" s="32">
        <v>0.97815749488804682</v>
      </c>
      <c r="DO130" s="32">
        <v>0.94577006507592187</v>
      </c>
      <c r="DP130" s="32">
        <v>0.9869565217391304</v>
      </c>
      <c r="DQ130" s="32">
        <v>0.93926247288503251</v>
      </c>
      <c r="DR130" s="32">
        <v>0.98272138228941686</v>
      </c>
      <c r="DS130" s="32">
        <v>0.98915401301518435</v>
      </c>
      <c r="DT130" s="32">
        <v>0.97402597402597402</v>
      </c>
      <c r="DU130" s="32">
        <v>0.97840172786177104</v>
      </c>
      <c r="DV130" s="32">
        <v>0.97089887955606158</v>
      </c>
      <c r="DW130" s="32">
        <v>0.92592592592592593</v>
      </c>
      <c r="DX130" s="32">
        <v>0.98523206751054848</v>
      </c>
      <c r="DY130" s="32">
        <v>0.94117647058823528</v>
      </c>
      <c r="DZ130" s="32">
        <v>0.96982758620689657</v>
      </c>
      <c r="EA130" s="32">
        <v>0.96815286624203822</v>
      </c>
      <c r="EB130" s="32">
        <v>0.97664543524416136</v>
      </c>
      <c r="EC130" s="32">
        <v>0.98726114649681529</v>
      </c>
      <c r="ED130" s="32">
        <v>0.96488878545923151</v>
      </c>
      <c r="EE130" s="32">
        <v>0.93520518358531313</v>
      </c>
      <c r="EF130" s="32">
        <v>0.98064516129032253</v>
      </c>
      <c r="EG130" s="32">
        <v>0.96544276457883371</v>
      </c>
      <c r="EH130" s="32">
        <v>0.95680345572354208</v>
      </c>
      <c r="EI130" s="32">
        <v>0.98709677419354835</v>
      </c>
      <c r="EJ130" s="32">
        <v>0.97413793103448276</v>
      </c>
      <c r="EK130" s="32">
        <v>0.95483870967741935</v>
      </c>
      <c r="EL130" s="32">
        <v>0.96488142572620883</v>
      </c>
    </row>
    <row r="131" spans="38:142" x14ac:dyDescent="0.25">
      <c r="AL131" s="19" t="s">
        <v>178</v>
      </c>
      <c r="AM131" s="32">
        <v>0.92049272116461367</v>
      </c>
      <c r="AN131" s="32">
        <v>0.94748603351955307</v>
      </c>
      <c r="AO131" s="32">
        <v>0.94400895856662936</v>
      </c>
      <c r="AP131" s="32">
        <v>0.96857463524130194</v>
      </c>
      <c r="AQ131" s="32">
        <v>0.94475138121546964</v>
      </c>
      <c r="AR131" s="32">
        <v>0.96666666666666667</v>
      </c>
      <c r="AS131" s="32">
        <v>0.95127353266888148</v>
      </c>
      <c r="AT131" s="32">
        <v>0.94903627557758796</v>
      </c>
      <c r="AU131" s="32">
        <v>0.92316384180790956</v>
      </c>
      <c r="AV131" s="32">
        <v>0.95652173913043481</v>
      </c>
      <c r="AW131" s="32">
        <v>0.96551724137931039</v>
      </c>
      <c r="AX131" s="32">
        <v>0.99664429530201337</v>
      </c>
      <c r="AY131" s="32">
        <v>0.95964125560538116</v>
      </c>
      <c r="AZ131" s="32">
        <v>0.96076233183856508</v>
      </c>
      <c r="BA131" s="32">
        <v>0.95367231638418082</v>
      </c>
      <c r="BB131" s="32">
        <v>0.95941757449254206</v>
      </c>
      <c r="BC131" s="32">
        <v>0.94511525795828755</v>
      </c>
      <c r="BD131" s="32">
        <v>0.9812775330396476</v>
      </c>
      <c r="BE131" s="32">
        <v>0.95474613686534215</v>
      </c>
      <c r="BF131" s="32">
        <v>0.96670366259711427</v>
      </c>
      <c r="BG131" s="32">
        <v>0.96162280701754388</v>
      </c>
      <c r="BH131" s="32">
        <v>0.96666666666666667</v>
      </c>
      <c r="BI131" s="32">
        <v>0.94549499443826479</v>
      </c>
      <c r="BJ131" s="32">
        <v>0.9602324369404095</v>
      </c>
      <c r="BK131" s="32">
        <v>0.95391705069124422</v>
      </c>
      <c r="BL131" s="32">
        <v>0.97099767981438512</v>
      </c>
      <c r="BM131" s="32">
        <v>0.95722543352601153</v>
      </c>
      <c r="BN131" s="32">
        <v>0.97643097643097643</v>
      </c>
      <c r="BO131" s="32">
        <v>0.90962441314553988</v>
      </c>
      <c r="BP131" s="32">
        <v>0.86428571428571432</v>
      </c>
      <c r="BQ131" s="32">
        <v>0.86166471277842904</v>
      </c>
      <c r="BR131" s="32">
        <v>0.92773514009604285</v>
      </c>
      <c r="BS131" s="32">
        <v>0.98208286674132139</v>
      </c>
      <c r="BT131" s="32">
        <v>0.98560354374307868</v>
      </c>
      <c r="BU131" s="32">
        <v>0.98666666666666669</v>
      </c>
      <c r="BV131" s="32">
        <v>0.98400852878464817</v>
      </c>
      <c r="BW131" s="32">
        <v>0.97139713971397135</v>
      </c>
      <c r="BX131" s="32">
        <v>0.97178329571106092</v>
      </c>
      <c r="BY131" s="32">
        <v>0.89210233592880983</v>
      </c>
      <c r="BZ131" s="32">
        <v>0.96766348246993672</v>
      </c>
      <c r="CA131" s="32">
        <v>0.95905172413793105</v>
      </c>
      <c r="CB131" s="32">
        <v>0.95444915254237284</v>
      </c>
      <c r="CC131" s="32">
        <v>0.95175438596491224</v>
      </c>
      <c r="CD131" s="32">
        <v>0.95869565217391306</v>
      </c>
      <c r="CE131" s="32">
        <v>0.97930283224400871</v>
      </c>
      <c r="CF131" s="32">
        <v>0.97756410256410253</v>
      </c>
      <c r="CG131" s="32">
        <v>0.97948164146868255</v>
      </c>
      <c r="CH131" s="32">
        <v>0.96575707015656043</v>
      </c>
      <c r="CI131" s="32">
        <v>0.94438386041439482</v>
      </c>
      <c r="CJ131" s="32">
        <v>0.96851248642779586</v>
      </c>
      <c r="CK131" s="32">
        <v>0.95823927765237016</v>
      </c>
      <c r="CL131" s="32">
        <v>0.96979503775620279</v>
      </c>
      <c r="CM131" s="32">
        <v>0.94896851248642777</v>
      </c>
      <c r="CN131" s="32">
        <v>0.94782608695652171</v>
      </c>
      <c r="CO131" s="32">
        <v>0.94902386117136661</v>
      </c>
      <c r="CP131" s="32">
        <v>0.95524987469501144</v>
      </c>
      <c r="CQ131" s="32">
        <v>0.91118421052631582</v>
      </c>
      <c r="CR131" s="32">
        <v>0.97741935483870968</v>
      </c>
      <c r="CS131" s="32">
        <v>0.94019933554817281</v>
      </c>
      <c r="CT131" s="32">
        <v>0.96888888888888891</v>
      </c>
      <c r="CU131" s="32">
        <v>0.92755214050493962</v>
      </c>
      <c r="CV131" s="32">
        <v>0.96308360477741584</v>
      </c>
      <c r="CW131" s="32">
        <v>0.91447368421052633</v>
      </c>
      <c r="CX131" s="32">
        <v>0.94325731704213844</v>
      </c>
      <c r="CY131" s="32">
        <v>0.94713656387665202</v>
      </c>
      <c r="CZ131" s="32">
        <v>0.93965517241379315</v>
      </c>
      <c r="DA131" s="32">
        <v>0.95609220636663006</v>
      </c>
      <c r="DB131" s="32">
        <v>0.97463002114164909</v>
      </c>
      <c r="DC131" s="32">
        <v>0.97058823529411764</v>
      </c>
      <c r="DD131" s="32">
        <v>0.94372294372294374</v>
      </c>
      <c r="DE131" s="32">
        <v>0.97173913043478266</v>
      </c>
      <c r="DF131" s="32">
        <v>0.95765203903579543</v>
      </c>
      <c r="DG131" s="32">
        <v>0.9724284199363733</v>
      </c>
      <c r="DH131" s="32">
        <v>0.9709364908503767</v>
      </c>
      <c r="DI131" s="32">
        <v>0.9724284199363733</v>
      </c>
      <c r="DJ131" s="32">
        <v>0.98255179934569248</v>
      </c>
      <c r="DK131" s="32">
        <v>0.95037756202804746</v>
      </c>
      <c r="DL131" s="32">
        <v>0.97222222222222221</v>
      </c>
      <c r="DM131" s="32">
        <v>0.96292257360959654</v>
      </c>
      <c r="DN131" s="32">
        <v>0.96912392684695459</v>
      </c>
      <c r="DO131" s="32">
        <v>0.94176931690929455</v>
      </c>
      <c r="DP131" s="32">
        <v>0.98074866310160425</v>
      </c>
      <c r="DQ131" s="32">
        <v>0.90534521158129178</v>
      </c>
      <c r="DR131" s="32">
        <v>0.94358407079646023</v>
      </c>
      <c r="DS131" s="32">
        <v>0.94339622641509435</v>
      </c>
      <c r="DT131" s="32">
        <v>0.97419354838709682</v>
      </c>
      <c r="DU131" s="32">
        <v>0.95681063122923593</v>
      </c>
      <c r="DV131" s="32">
        <v>0.94940680977429681</v>
      </c>
      <c r="DW131" s="32">
        <v>0.93281938325991187</v>
      </c>
      <c r="DX131" s="32">
        <v>0.95264317180616742</v>
      </c>
      <c r="DY131" s="32">
        <v>0.9441964285714286</v>
      </c>
      <c r="DZ131" s="32">
        <v>0.95175438596491224</v>
      </c>
      <c r="EA131" s="32">
        <v>0.93576965669988921</v>
      </c>
      <c r="EB131" s="32">
        <v>0.95243362831858402</v>
      </c>
      <c r="EC131" s="32">
        <v>0.93480662983425411</v>
      </c>
      <c r="ED131" s="32">
        <v>0.94348904063644967</v>
      </c>
      <c r="EE131" s="32">
        <v>0.94617868675995698</v>
      </c>
      <c r="EF131" s="32">
        <v>0.9515608180839612</v>
      </c>
      <c r="EG131" s="32">
        <v>0.95222584147665579</v>
      </c>
      <c r="EH131" s="32">
        <v>0.98501070663811563</v>
      </c>
      <c r="EI131" s="32">
        <v>0.95524017467248912</v>
      </c>
      <c r="EJ131" s="32">
        <v>0.93534482758620685</v>
      </c>
      <c r="EK131" s="32">
        <v>0.94612068965517238</v>
      </c>
      <c r="EL131" s="32">
        <v>0.95309739212465117</v>
      </c>
    </row>
    <row r="132" spans="38:142" x14ac:dyDescent="0.25">
      <c r="AL132" s="19" t="s">
        <v>179</v>
      </c>
      <c r="AM132" s="32">
        <v>1</v>
      </c>
      <c r="AN132" s="32">
        <v>0.9925373134328358</v>
      </c>
      <c r="AO132" s="32">
        <v>1</v>
      </c>
      <c r="AP132" s="32">
        <v>1</v>
      </c>
      <c r="AQ132" s="32">
        <v>1</v>
      </c>
      <c r="AR132" s="32">
        <v>1</v>
      </c>
      <c r="AS132" s="32">
        <v>1</v>
      </c>
      <c r="AT132" s="32">
        <v>0.99893390191897657</v>
      </c>
      <c r="AU132" s="32">
        <v>1</v>
      </c>
      <c r="AV132" s="32">
        <v>1</v>
      </c>
      <c r="AW132" s="32">
        <v>1</v>
      </c>
      <c r="AX132" s="32">
        <v>1</v>
      </c>
      <c r="AY132" s="32">
        <v>1</v>
      </c>
      <c r="AZ132" s="32">
        <v>0.98113207547169812</v>
      </c>
      <c r="BA132" s="32">
        <v>0.98841698841698844</v>
      </c>
      <c r="BB132" s="32">
        <v>0.99564986626981233</v>
      </c>
      <c r="BC132" s="32">
        <v>1</v>
      </c>
      <c r="BD132" s="32">
        <v>1</v>
      </c>
      <c r="BE132" s="32">
        <v>1</v>
      </c>
      <c r="BF132" s="32">
        <v>1</v>
      </c>
      <c r="BG132" s="32">
        <v>1</v>
      </c>
      <c r="BH132" s="32">
        <v>1</v>
      </c>
      <c r="BI132" s="32">
        <v>1</v>
      </c>
      <c r="BJ132" s="32">
        <v>1</v>
      </c>
      <c r="BK132" s="32">
        <v>1</v>
      </c>
      <c r="BL132" s="32">
        <v>1</v>
      </c>
      <c r="BM132" s="32">
        <v>1</v>
      </c>
      <c r="BN132" s="32">
        <v>1</v>
      </c>
      <c r="BO132" s="32">
        <v>1</v>
      </c>
      <c r="BP132" s="32">
        <v>0.9007633587786259</v>
      </c>
      <c r="BQ132" s="32">
        <v>1</v>
      </c>
      <c r="BR132" s="32">
        <v>0.9858233369683751</v>
      </c>
      <c r="BS132" s="32">
        <v>0.98905109489051091</v>
      </c>
      <c r="BT132" s="32">
        <v>1</v>
      </c>
      <c r="BU132" s="32">
        <v>0.99283154121863804</v>
      </c>
      <c r="BV132" s="32">
        <v>0.99637681159420288</v>
      </c>
      <c r="BW132" s="32">
        <v>0.98901098901098905</v>
      </c>
      <c r="BX132" s="32">
        <v>0.98188405797101452</v>
      </c>
      <c r="BY132" s="32">
        <v>0.9926739926739927</v>
      </c>
      <c r="BZ132" s="32">
        <v>0.99168978390847828</v>
      </c>
      <c r="CA132" s="32">
        <v>1</v>
      </c>
      <c r="CB132" s="32">
        <v>0.98928571428571432</v>
      </c>
      <c r="CC132" s="32">
        <v>1</v>
      </c>
      <c r="CD132" s="32">
        <v>0.99624060150375937</v>
      </c>
      <c r="CE132" s="32">
        <v>0.98513011152416352</v>
      </c>
      <c r="CF132" s="32">
        <v>1</v>
      </c>
      <c r="CG132" s="32">
        <v>1</v>
      </c>
      <c r="CH132" s="32">
        <v>0.99580806104480524</v>
      </c>
      <c r="CI132" s="32">
        <v>1</v>
      </c>
      <c r="CJ132" s="32">
        <v>0.99248120300751874</v>
      </c>
      <c r="CK132" s="32">
        <v>1</v>
      </c>
      <c r="CL132" s="32">
        <v>1</v>
      </c>
      <c r="CM132" s="32">
        <v>0.99632352941176472</v>
      </c>
      <c r="CN132" s="32">
        <v>0.99248120300751874</v>
      </c>
      <c r="CO132" s="32">
        <v>0.99261992619926198</v>
      </c>
      <c r="CP132" s="32">
        <v>0.99627226594658058</v>
      </c>
      <c r="CQ132" s="32">
        <v>1</v>
      </c>
      <c r="CR132" s="32">
        <v>0.99633699633699635</v>
      </c>
      <c r="CS132" s="32">
        <v>0.99632352941176472</v>
      </c>
      <c r="CT132" s="32">
        <v>0.9963503649635036</v>
      </c>
      <c r="CU132" s="32">
        <v>1</v>
      </c>
      <c r="CV132" s="32">
        <v>0.99629629629629635</v>
      </c>
      <c r="CW132" s="32">
        <v>0.99630996309963105</v>
      </c>
      <c r="CX132" s="32">
        <v>0.99737387858688453</v>
      </c>
      <c r="CY132" s="32">
        <v>0.99256505576208176</v>
      </c>
      <c r="CZ132" s="32">
        <v>1</v>
      </c>
      <c r="DA132" s="32">
        <v>0.99259259259259258</v>
      </c>
      <c r="DB132" s="32">
        <v>0.99261992619926198</v>
      </c>
      <c r="DC132" s="32">
        <v>0.9887640449438202</v>
      </c>
      <c r="DD132" s="32">
        <v>0.9925373134328358</v>
      </c>
      <c r="DE132" s="32">
        <v>0.99245283018867925</v>
      </c>
      <c r="DF132" s="32">
        <v>0.99307596615989591</v>
      </c>
      <c r="DG132" s="32">
        <v>0.99622641509433962</v>
      </c>
      <c r="DH132" s="32">
        <v>0.98905109489051091</v>
      </c>
      <c r="DI132" s="32">
        <v>0.99625468164794007</v>
      </c>
      <c r="DJ132" s="32">
        <v>0.99625468164794007</v>
      </c>
      <c r="DK132" s="32">
        <v>0.98461538461538467</v>
      </c>
      <c r="DL132" s="32">
        <v>0.98892988929889303</v>
      </c>
      <c r="DM132" s="32">
        <v>0.98841698841698844</v>
      </c>
      <c r="DN132" s="32">
        <v>0.99139273365885672</v>
      </c>
      <c r="DO132" s="32">
        <v>1</v>
      </c>
      <c r="DP132" s="32">
        <v>0.99629629629629635</v>
      </c>
      <c r="DQ132" s="32">
        <v>0.99630996309963105</v>
      </c>
      <c r="DR132" s="32">
        <v>0.99629629629629635</v>
      </c>
      <c r="DS132" s="32">
        <v>0.9963503649635036</v>
      </c>
      <c r="DT132" s="32">
        <v>0.99632352941176472</v>
      </c>
      <c r="DU132" s="32">
        <v>0.99628252788104088</v>
      </c>
      <c r="DV132" s="32">
        <v>0.99683699684979044</v>
      </c>
      <c r="DW132" s="32">
        <v>1</v>
      </c>
      <c r="DX132" s="32">
        <v>1</v>
      </c>
      <c r="DY132" s="32">
        <v>1</v>
      </c>
      <c r="DZ132" s="32">
        <v>1</v>
      </c>
      <c r="EA132" s="32">
        <v>1</v>
      </c>
      <c r="EB132" s="32">
        <v>1</v>
      </c>
      <c r="EC132" s="32">
        <v>1</v>
      </c>
      <c r="ED132" s="32">
        <v>1</v>
      </c>
      <c r="EE132" s="32">
        <v>1</v>
      </c>
      <c r="EF132" s="32">
        <v>1</v>
      </c>
      <c r="EG132" s="32">
        <v>1</v>
      </c>
      <c r="EH132" s="32">
        <v>1</v>
      </c>
      <c r="EI132" s="32">
        <v>1</v>
      </c>
      <c r="EJ132" s="32">
        <v>1</v>
      </c>
      <c r="EK132" s="32">
        <v>1</v>
      </c>
      <c r="EL132" s="32">
        <v>1</v>
      </c>
    </row>
    <row r="133" spans="38:142" x14ac:dyDescent="0.25">
      <c r="AL133" s="19" t="s">
        <v>180</v>
      </c>
      <c r="AM133" s="32">
        <v>0.97570850202429149</v>
      </c>
      <c r="AN133" s="32">
        <v>0.93495934959349591</v>
      </c>
      <c r="AO133" s="32">
        <v>0.9919028340080972</v>
      </c>
      <c r="AP133" s="32">
        <v>0.98785425101214575</v>
      </c>
      <c r="AQ133" s="32">
        <v>0.97165991902834004</v>
      </c>
      <c r="AR133" s="32">
        <v>0.96341463414634143</v>
      </c>
      <c r="AS133" s="32">
        <v>0.93089430894308944</v>
      </c>
      <c r="AT133" s="32">
        <v>0.96519911410797143</v>
      </c>
      <c r="AU133" s="32">
        <v>0.96326530612244898</v>
      </c>
      <c r="AV133" s="32">
        <v>0.97983870967741937</v>
      </c>
      <c r="AW133" s="32">
        <v>0.96761133603238869</v>
      </c>
      <c r="AX133" s="32">
        <v>0.96734693877551026</v>
      </c>
      <c r="AY133" s="32">
        <v>0.96356275303643724</v>
      </c>
      <c r="AZ133" s="32">
        <v>1</v>
      </c>
      <c r="BA133" s="32">
        <v>1</v>
      </c>
      <c r="BB133" s="32">
        <v>0.97737500623488649</v>
      </c>
      <c r="BC133" s="32">
        <v>0.97716894977168944</v>
      </c>
      <c r="BD133" s="32">
        <v>0.99541284403669728</v>
      </c>
      <c r="BE133" s="32">
        <v>0.98790322580645162</v>
      </c>
      <c r="BF133" s="32">
        <v>0.99596774193548387</v>
      </c>
      <c r="BG133" s="32">
        <v>0.9773755656108597</v>
      </c>
      <c r="BH133" s="32">
        <v>1</v>
      </c>
      <c r="BI133" s="32">
        <v>0.97727272727272729</v>
      </c>
      <c r="BJ133" s="32">
        <v>0.9873001506334157</v>
      </c>
      <c r="BK133" s="32">
        <v>0.95528455284552849</v>
      </c>
      <c r="BL133" s="32">
        <v>0.96356275303643724</v>
      </c>
      <c r="BM133" s="32">
        <v>0.97967479674796742</v>
      </c>
      <c r="BN133" s="32">
        <v>0.96202531645569622</v>
      </c>
      <c r="BO133" s="32">
        <v>0.93827160493827155</v>
      </c>
      <c r="BP133" s="32">
        <v>0.96280991735537191</v>
      </c>
      <c r="BQ133" s="32">
        <v>0.93801652892561982</v>
      </c>
      <c r="BR133" s="32">
        <v>0.95709221004355605</v>
      </c>
      <c r="BS133" s="32">
        <v>0.96186440677966101</v>
      </c>
      <c r="BT133" s="32">
        <v>0.96624472573839659</v>
      </c>
      <c r="BU133" s="32">
        <v>0.97211155378486058</v>
      </c>
      <c r="BV133" s="32">
        <v>0.96414342629482075</v>
      </c>
      <c r="BW133" s="32">
        <v>0.96638655462184875</v>
      </c>
      <c r="BX133" s="32">
        <v>0.91983122362869196</v>
      </c>
      <c r="BY133" s="32">
        <v>0.9324894514767933</v>
      </c>
      <c r="BZ133" s="32">
        <v>0.95472447747501044</v>
      </c>
      <c r="CA133" s="32">
        <v>0.93117408906882593</v>
      </c>
      <c r="CB133" s="32">
        <v>0.97211155378486058</v>
      </c>
      <c r="CC133" s="32">
        <v>0.91902834008097167</v>
      </c>
      <c r="CD133" s="32">
        <v>0.96761133603238869</v>
      </c>
      <c r="CE133" s="32">
        <v>0.9838709677419355</v>
      </c>
      <c r="CF133" s="32">
        <v>0.96787148594377514</v>
      </c>
      <c r="CG133" s="32">
        <v>0.967741935483871</v>
      </c>
      <c r="CH133" s="32">
        <v>0.95848710116237545</v>
      </c>
      <c r="CI133" s="32">
        <v>0.96761133603238869</v>
      </c>
      <c r="CJ133" s="32">
        <v>0.97165991902834004</v>
      </c>
      <c r="CK133" s="32">
        <v>0.98785425101214575</v>
      </c>
      <c r="CL133" s="32">
        <v>0.99595141700404854</v>
      </c>
      <c r="CM133" s="32">
        <v>0.97975708502024295</v>
      </c>
      <c r="CN133" s="32">
        <v>0.97637795275590555</v>
      </c>
      <c r="CO133" s="32">
        <v>0.97590361445783136</v>
      </c>
      <c r="CP133" s="32">
        <v>0.97930222504441478</v>
      </c>
      <c r="CQ133" s="32">
        <v>0.95951417004048578</v>
      </c>
      <c r="CR133" s="32">
        <v>0.97975708502024295</v>
      </c>
      <c r="CS133" s="32">
        <v>0.95141700404858298</v>
      </c>
      <c r="CT133" s="32">
        <v>0.97165991902834004</v>
      </c>
      <c r="CU133" s="32">
        <v>0.91093117408906887</v>
      </c>
      <c r="CV133" s="32">
        <v>0.93117408906882593</v>
      </c>
      <c r="CW133" s="32">
        <v>0.91902834008097167</v>
      </c>
      <c r="CX133" s="32">
        <v>0.94621168305378844</v>
      </c>
      <c r="CY133" s="32">
        <v>0.97165991902834004</v>
      </c>
      <c r="CZ133" s="32">
        <v>0.9838709677419355</v>
      </c>
      <c r="DA133" s="32">
        <v>0.9838709677419355</v>
      </c>
      <c r="DB133" s="32">
        <v>1</v>
      </c>
      <c r="DC133" s="32">
        <v>0.98785425101214575</v>
      </c>
      <c r="DD133" s="32">
        <v>1</v>
      </c>
      <c r="DE133" s="32">
        <v>1</v>
      </c>
      <c r="DF133" s="32">
        <v>0.98960801507490814</v>
      </c>
      <c r="DG133" s="32">
        <v>0.97570850202429149</v>
      </c>
      <c r="DH133" s="32">
        <v>0.99193548387096775</v>
      </c>
      <c r="DI133" s="32">
        <v>0.93522267206477738</v>
      </c>
      <c r="DJ133" s="32">
        <v>0.95141700404858298</v>
      </c>
      <c r="DK133" s="32">
        <v>0.95967741935483875</v>
      </c>
      <c r="DL133" s="32">
        <v>0.9838709677419355</v>
      </c>
      <c r="DM133" s="32">
        <v>0.97580645161290325</v>
      </c>
      <c r="DN133" s="32">
        <v>0.96766264295975668</v>
      </c>
      <c r="DO133" s="32">
        <v>0.99543378995433784</v>
      </c>
      <c r="DP133" s="32">
        <v>0.97165991902834004</v>
      </c>
      <c r="DQ133" s="32">
        <v>1</v>
      </c>
      <c r="DR133" s="32">
        <v>1</v>
      </c>
      <c r="DS133" s="32">
        <v>1</v>
      </c>
      <c r="DT133" s="32">
        <v>0.96761133603238869</v>
      </c>
      <c r="DU133" s="32">
        <v>1</v>
      </c>
      <c r="DV133" s="32">
        <v>0.99067214928786662</v>
      </c>
      <c r="DW133" s="32">
        <v>1</v>
      </c>
      <c r="DX133" s="32">
        <v>0.99082568807339455</v>
      </c>
      <c r="DY133" s="32">
        <v>1</v>
      </c>
      <c r="DZ133" s="32">
        <v>0.94545454545454544</v>
      </c>
      <c r="EA133" s="32">
        <v>1</v>
      </c>
      <c r="EB133" s="32">
        <v>1</v>
      </c>
      <c r="EC133" s="32">
        <v>1</v>
      </c>
      <c r="ED133" s="32">
        <v>0.99089717621827711</v>
      </c>
      <c r="EE133" s="32">
        <v>0.96330275229357798</v>
      </c>
      <c r="EF133" s="32">
        <v>0.96803652968036524</v>
      </c>
      <c r="EG133" s="32">
        <v>0.97247706422018354</v>
      </c>
      <c r="EH133" s="32">
        <v>0.97272727272727277</v>
      </c>
      <c r="EI133" s="32">
        <v>0.98165137614678899</v>
      </c>
      <c r="EJ133" s="32">
        <v>0.98623853211009171</v>
      </c>
      <c r="EK133" s="32">
        <v>0.99082568807339455</v>
      </c>
      <c r="EL133" s="32">
        <v>0.97646560217881073</v>
      </c>
    </row>
    <row r="134" spans="38:142" x14ac:dyDescent="0.25">
      <c r="AL134" s="19" t="s">
        <v>181</v>
      </c>
      <c r="AM134" s="32">
        <v>0.9975186104218362</v>
      </c>
      <c r="AN134" s="32">
        <v>1</v>
      </c>
      <c r="AO134" s="32">
        <v>0.99750933997509339</v>
      </c>
      <c r="AP134" s="32">
        <v>0.87591240875912413</v>
      </c>
      <c r="AQ134" s="32">
        <v>1</v>
      </c>
      <c r="AR134" s="32">
        <v>1</v>
      </c>
      <c r="AS134" s="32">
        <v>0.9987775061124694</v>
      </c>
      <c r="AT134" s="32">
        <v>0.98138826646693189</v>
      </c>
      <c r="AU134" s="32">
        <v>0.99252801992528017</v>
      </c>
      <c r="AV134" s="32">
        <v>0.99513381995133821</v>
      </c>
      <c r="AW134" s="32">
        <v>0.99377334993773347</v>
      </c>
      <c r="AX134" s="32">
        <v>0.99878787878787878</v>
      </c>
      <c r="AY134" s="32">
        <v>0.98915662650602409</v>
      </c>
      <c r="AZ134" s="32">
        <v>0.99879518072289153</v>
      </c>
      <c r="BA134" s="32">
        <v>1</v>
      </c>
      <c r="BB134" s="32">
        <v>0.99545355369016364</v>
      </c>
      <c r="BC134" s="32">
        <v>0.97503121098626722</v>
      </c>
      <c r="BD134" s="32">
        <v>0.99037304452466912</v>
      </c>
      <c r="BE134" s="32">
        <v>0.98218829516539441</v>
      </c>
      <c r="BF134" s="32">
        <v>0.97750000000000004</v>
      </c>
      <c r="BG134" s="32">
        <v>0.99637243047158408</v>
      </c>
      <c r="BH134" s="32">
        <v>0.98408812729498163</v>
      </c>
      <c r="BI134" s="32">
        <v>0.99626400996264008</v>
      </c>
      <c r="BJ134" s="32">
        <v>0.9859738740579338</v>
      </c>
      <c r="BK134" s="32">
        <v>0.93984962406015038</v>
      </c>
      <c r="BL134" s="32">
        <v>0.97964376590330793</v>
      </c>
      <c r="BM134" s="32">
        <v>0.96729559748427674</v>
      </c>
      <c r="BN134" s="32">
        <v>0.98034398034398029</v>
      </c>
      <c r="BO134" s="32">
        <v>0.98408488063660482</v>
      </c>
      <c r="BP134" s="32">
        <v>0.92578125</v>
      </c>
      <c r="BQ134" s="32">
        <v>0.92884864165588621</v>
      </c>
      <c r="BR134" s="32">
        <v>0.95797824858345815</v>
      </c>
      <c r="BS134" s="32">
        <v>0.99630541871921185</v>
      </c>
      <c r="BT134" s="32">
        <v>0.97578692493946728</v>
      </c>
      <c r="BU134" s="32">
        <v>0.99384236453201968</v>
      </c>
      <c r="BV134" s="32">
        <v>0.99758162031438935</v>
      </c>
      <c r="BW134" s="32">
        <v>0.98648648648648651</v>
      </c>
      <c r="BX134" s="32">
        <v>0.95776397515527956</v>
      </c>
      <c r="BY134" s="32">
        <v>0.96852300242130751</v>
      </c>
      <c r="BZ134" s="32">
        <v>0.98232711322402311</v>
      </c>
      <c r="CA134" s="32">
        <v>0.99023199023199027</v>
      </c>
      <c r="CB134" s="32">
        <v>0.97578692493946728</v>
      </c>
      <c r="CC134" s="32">
        <v>0.98538367844092567</v>
      </c>
      <c r="CD134" s="32">
        <v>1</v>
      </c>
      <c r="CE134" s="32">
        <v>0.9963503649635036</v>
      </c>
      <c r="CF134" s="32">
        <v>0.99759615384615385</v>
      </c>
      <c r="CG134" s="32">
        <v>0.99396863691194215</v>
      </c>
      <c r="CH134" s="32">
        <v>0.99133110704771188</v>
      </c>
      <c r="CI134" s="32">
        <v>0.99639855942376954</v>
      </c>
      <c r="CJ134" s="32">
        <v>1</v>
      </c>
      <c r="CK134" s="32">
        <v>0.99152542372881358</v>
      </c>
      <c r="CL134" s="32">
        <v>1</v>
      </c>
      <c r="CM134" s="32">
        <v>0.99880095923261392</v>
      </c>
      <c r="CN134" s="32">
        <v>1</v>
      </c>
      <c r="CO134" s="32">
        <v>0.99759326113116731</v>
      </c>
      <c r="CP134" s="32">
        <v>0.9977597433594807</v>
      </c>
      <c r="CQ134" s="32">
        <v>0.98009950248756217</v>
      </c>
      <c r="CR134" s="32">
        <v>0.99156626506024093</v>
      </c>
      <c r="CS134" s="32">
        <v>0.9853300733496333</v>
      </c>
      <c r="CT134" s="32">
        <v>0.99635922330097082</v>
      </c>
      <c r="CU134" s="32">
        <v>0.98529411764705888</v>
      </c>
      <c r="CV134" s="32">
        <v>0.99160671462829741</v>
      </c>
      <c r="CW134" s="32">
        <v>0.99759326113116731</v>
      </c>
      <c r="CX134" s="32">
        <v>0.98969273680070435</v>
      </c>
      <c r="CY134" s="32">
        <v>0.97181372549019607</v>
      </c>
      <c r="CZ134" s="32">
        <v>1</v>
      </c>
      <c r="DA134" s="32">
        <v>0.9828850855745721</v>
      </c>
      <c r="DB134" s="32">
        <v>0.98418491484184911</v>
      </c>
      <c r="DC134" s="32">
        <v>0.98562874251497001</v>
      </c>
      <c r="DD134" s="32">
        <v>0.99033816425120769</v>
      </c>
      <c r="DE134" s="32">
        <v>0.99027946537059541</v>
      </c>
      <c r="DF134" s="32">
        <v>0.98644715686334139</v>
      </c>
      <c r="DG134" s="32">
        <v>1</v>
      </c>
      <c r="DH134" s="32">
        <v>0.98658536585365852</v>
      </c>
      <c r="DI134" s="32">
        <v>0.99879372738238847</v>
      </c>
      <c r="DJ134" s="32">
        <v>0.9939613526570048</v>
      </c>
      <c r="DK134" s="32">
        <v>0.99272727272727268</v>
      </c>
      <c r="DL134" s="32">
        <v>0.99516908212560384</v>
      </c>
      <c r="DM134" s="32">
        <v>0.98902439024390243</v>
      </c>
      <c r="DN134" s="32">
        <v>0.99375159871283292</v>
      </c>
      <c r="DO134" s="32">
        <v>0.96538936959208899</v>
      </c>
      <c r="DP134" s="32">
        <v>1</v>
      </c>
      <c r="DQ134" s="32">
        <v>0.98640296662546356</v>
      </c>
      <c r="DR134" s="32">
        <v>0.9987834549878345</v>
      </c>
      <c r="DS134" s="32">
        <v>0.98906439854191985</v>
      </c>
      <c r="DT134" s="32">
        <v>0.99633699633699635</v>
      </c>
      <c r="DU134" s="32">
        <v>0.98898408812729499</v>
      </c>
      <c r="DV134" s="32">
        <v>0.98928018203022838</v>
      </c>
      <c r="DW134" s="32">
        <v>0.98527607361963188</v>
      </c>
      <c r="DX134" s="32">
        <v>0.99270072992700731</v>
      </c>
      <c r="DY134" s="32">
        <v>0.98650306748466254</v>
      </c>
      <c r="DZ134" s="32">
        <v>0.99018404907975455</v>
      </c>
      <c r="EA134" s="32">
        <v>0.97671568627450978</v>
      </c>
      <c r="EB134" s="32">
        <v>0.98898408812729499</v>
      </c>
      <c r="EC134" s="32">
        <v>0.98774509803921573</v>
      </c>
      <c r="ED134" s="32">
        <v>0.98687268465029665</v>
      </c>
      <c r="EE134" s="32">
        <v>0.97914110429447854</v>
      </c>
      <c r="EF134" s="32">
        <v>0.99039615846338536</v>
      </c>
      <c r="EG134" s="32">
        <v>0.97280593325092712</v>
      </c>
      <c r="EH134" s="32">
        <v>0.98168498168498164</v>
      </c>
      <c r="EI134" s="32">
        <v>0.98648648648648651</v>
      </c>
      <c r="EJ134" s="32">
        <v>0.98529411764705888</v>
      </c>
      <c r="EK134" s="32">
        <v>0.99264705882352944</v>
      </c>
      <c r="EL134" s="32">
        <v>0.9840651200929782</v>
      </c>
    </row>
    <row r="135" spans="38:142" x14ac:dyDescent="0.25">
      <c r="AL135" s="19" t="s">
        <v>182</v>
      </c>
      <c r="AM135" s="32">
        <v>0.98429319371727753</v>
      </c>
      <c r="AN135" s="32">
        <v>0.99737187910643887</v>
      </c>
      <c r="AO135" s="32">
        <v>0.97742363877822047</v>
      </c>
      <c r="AP135" s="32">
        <v>0.99735449735449733</v>
      </c>
      <c r="AQ135" s="32">
        <v>0.94399999999999995</v>
      </c>
      <c r="AR135" s="32">
        <v>0.96</v>
      </c>
      <c r="AS135" s="32">
        <v>0.98002663115845534</v>
      </c>
      <c r="AT135" s="32">
        <v>0.97720997715926994</v>
      </c>
      <c r="AU135" s="32">
        <v>0.98675496688741726</v>
      </c>
      <c r="AV135" s="32">
        <v>0.99735099337748345</v>
      </c>
      <c r="AW135" s="32">
        <v>0.99601063829787229</v>
      </c>
      <c r="AX135" s="32">
        <v>0.99072847682119203</v>
      </c>
      <c r="AY135" s="32">
        <v>0.97748344370860929</v>
      </c>
      <c r="AZ135" s="32">
        <v>0.98673740053050396</v>
      </c>
      <c r="BA135" s="32">
        <v>0.96812749003984067</v>
      </c>
      <c r="BB135" s="32">
        <v>0.98617048709470267</v>
      </c>
      <c r="BC135" s="32">
        <v>0.97490092470277412</v>
      </c>
      <c r="BD135" s="32">
        <v>0.98938992042440321</v>
      </c>
      <c r="BE135" s="32">
        <v>0.96697490092470273</v>
      </c>
      <c r="BF135" s="32">
        <v>0.98021108179419525</v>
      </c>
      <c r="BG135" s="32">
        <v>0.99345549738219896</v>
      </c>
      <c r="BH135" s="32">
        <v>0.99607843137254903</v>
      </c>
      <c r="BI135" s="32">
        <v>0.98433420365535251</v>
      </c>
      <c r="BJ135" s="32">
        <v>0.9836207086080252</v>
      </c>
      <c r="BK135" s="32">
        <v>0.97599999999999998</v>
      </c>
      <c r="BL135" s="32">
        <v>0.96829590488771466</v>
      </c>
      <c r="BM135" s="32">
        <v>0.99336870026525204</v>
      </c>
      <c r="BN135" s="32">
        <v>1</v>
      </c>
      <c r="BO135" s="32">
        <v>0.94940079893475371</v>
      </c>
      <c r="BP135" s="32">
        <v>0.93492695883134125</v>
      </c>
      <c r="BQ135" s="32">
        <v>0.95727636849132181</v>
      </c>
      <c r="BR135" s="32">
        <v>0.96846696163005475</v>
      </c>
      <c r="BS135" s="32">
        <v>0.98828125</v>
      </c>
      <c r="BT135" s="32">
        <v>1</v>
      </c>
      <c r="BU135" s="32">
        <v>0.9790849673202614</v>
      </c>
      <c r="BV135" s="32">
        <v>0.99615877080665816</v>
      </c>
      <c r="BW135" s="32">
        <v>0.98719590268886048</v>
      </c>
      <c r="BX135" s="32">
        <v>0.99481865284974091</v>
      </c>
      <c r="BY135" s="32">
        <v>0.99613402061855671</v>
      </c>
      <c r="BZ135" s="32">
        <v>0.9916676520405826</v>
      </c>
      <c r="CA135" s="32">
        <v>0.99475753604193973</v>
      </c>
      <c r="CB135" s="32">
        <v>1</v>
      </c>
      <c r="CC135" s="32">
        <v>0.98571428571428577</v>
      </c>
      <c r="CD135" s="32">
        <v>1</v>
      </c>
      <c r="CE135" s="32">
        <v>0.99483870967741939</v>
      </c>
      <c r="CF135" s="32">
        <v>0.99616368286445012</v>
      </c>
      <c r="CG135" s="32">
        <v>0.99481865284974091</v>
      </c>
      <c r="CH135" s="32">
        <v>0.99518469530683373</v>
      </c>
      <c r="CI135" s="32">
        <v>0.98252688172043012</v>
      </c>
      <c r="CJ135" s="32">
        <v>0.99741935483870969</v>
      </c>
      <c r="CK135" s="32">
        <v>0.97297297297297303</v>
      </c>
      <c r="CL135" s="32">
        <v>0.95855614973262027</v>
      </c>
      <c r="CM135" s="32">
        <v>0.97503285151116947</v>
      </c>
      <c r="CN135" s="32">
        <v>0.99351491569390404</v>
      </c>
      <c r="CO135" s="32">
        <v>0.99608865710560623</v>
      </c>
      <c r="CP135" s="32">
        <v>0.98230168336791623</v>
      </c>
      <c r="CQ135" s="32">
        <v>0.92895442359249325</v>
      </c>
      <c r="CR135" s="32">
        <v>0.98807947019867548</v>
      </c>
      <c r="CS135" s="32">
        <v>0.95314591700133866</v>
      </c>
      <c r="CT135" s="32">
        <v>0.98284960422163592</v>
      </c>
      <c r="CU135" s="32">
        <v>0.96812749003984067</v>
      </c>
      <c r="CV135" s="32">
        <v>0.98278145695364238</v>
      </c>
      <c r="CW135" s="32">
        <v>0.98015873015873012</v>
      </c>
      <c r="CX135" s="32">
        <v>0.96915672745233661</v>
      </c>
      <c r="CY135" s="32">
        <v>0.96505376344086025</v>
      </c>
      <c r="CZ135" s="32">
        <v>0.99076517150395782</v>
      </c>
      <c r="DA135" s="32">
        <v>0.97446236559139787</v>
      </c>
      <c r="DB135" s="32">
        <v>0.96799999999999997</v>
      </c>
      <c r="DC135" s="32">
        <v>0.97207446808510634</v>
      </c>
      <c r="DD135" s="32">
        <v>0.99082568807339455</v>
      </c>
      <c r="DE135" s="32">
        <v>0.98814229249011853</v>
      </c>
      <c r="DF135" s="32">
        <v>0.97847482131211938</v>
      </c>
      <c r="DG135" s="32">
        <v>0.97192513368983957</v>
      </c>
      <c r="DH135" s="32">
        <v>0.98807947019867548</v>
      </c>
      <c r="DI135" s="32">
        <v>0.9853723404255319</v>
      </c>
      <c r="DJ135" s="32">
        <v>0.98804780876494025</v>
      </c>
      <c r="DK135" s="32">
        <v>0.97350993377483441</v>
      </c>
      <c r="DL135" s="32">
        <v>0.98423127463863336</v>
      </c>
      <c r="DM135" s="32">
        <v>0.9813829787234043</v>
      </c>
      <c r="DN135" s="32">
        <v>0.98179270574512267</v>
      </c>
      <c r="DO135" s="32">
        <v>0.9906166219839142</v>
      </c>
      <c r="DP135" s="32">
        <v>0.99733688415446076</v>
      </c>
      <c r="DQ135" s="32">
        <v>0.97852348993288596</v>
      </c>
      <c r="DR135" s="32">
        <v>0.9986893840104849</v>
      </c>
      <c r="DS135" s="32">
        <v>0.98666666666666669</v>
      </c>
      <c r="DT135" s="32">
        <v>0.98803191489361697</v>
      </c>
      <c r="DU135" s="32">
        <v>0.98934753661784292</v>
      </c>
      <c r="DV135" s="32">
        <v>0.98988749975141033</v>
      </c>
      <c r="DW135" s="32">
        <v>0.95641025641025645</v>
      </c>
      <c r="DX135" s="32">
        <v>0.99234693877551017</v>
      </c>
      <c r="DY135" s="32">
        <v>0.94629156010230175</v>
      </c>
      <c r="DZ135" s="32">
        <v>0.97961783439490446</v>
      </c>
      <c r="EA135" s="32">
        <v>0.96030729833546735</v>
      </c>
      <c r="EB135" s="32">
        <v>0.98475222363405335</v>
      </c>
      <c r="EC135" s="32">
        <v>0.98844672657252886</v>
      </c>
      <c r="ED135" s="32">
        <v>0.97259611974643179</v>
      </c>
      <c r="EE135" s="32">
        <v>0.9653846153846154</v>
      </c>
      <c r="EF135" s="32">
        <v>0.99368686868686873</v>
      </c>
      <c r="EG135" s="32">
        <v>0.98074454428754809</v>
      </c>
      <c r="EH135" s="32">
        <v>0.97961783439490446</v>
      </c>
      <c r="EI135" s="32">
        <v>0.96700507614213194</v>
      </c>
      <c r="EJ135" s="32">
        <v>0.99118387909319894</v>
      </c>
      <c r="EK135" s="32">
        <v>0.97246558197747179</v>
      </c>
      <c r="EL135" s="32">
        <v>0.97858405713810559</v>
      </c>
    </row>
    <row r="136" spans="38:142" x14ac:dyDescent="0.25">
      <c r="AL136" s="19" t="s">
        <v>183</v>
      </c>
      <c r="AM136" s="32">
        <v>0.97482837528604116</v>
      </c>
      <c r="AN136" s="32">
        <v>0.9434389140271493</v>
      </c>
      <c r="AO136" s="32">
        <v>0.97482837528604116</v>
      </c>
      <c r="AP136" s="32">
        <v>0.92906178489702518</v>
      </c>
      <c r="AQ136" s="32">
        <v>0.97482837528604116</v>
      </c>
      <c r="AR136" s="32">
        <v>0.94736842105263153</v>
      </c>
      <c r="AS136" s="32">
        <v>0.97482837528604116</v>
      </c>
      <c r="AT136" s="32">
        <v>0.95988323158870992</v>
      </c>
      <c r="AU136" s="32">
        <v>0.97482837528604116</v>
      </c>
      <c r="AV136" s="32">
        <v>0.94582392776523705</v>
      </c>
      <c r="AW136" s="32">
        <v>0.97477064220183485</v>
      </c>
      <c r="AX136" s="32">
        <v>0.93273542600896864</v>
      </c>
      <c r="AY136" s="32">
        <v>0.97477064220183485</v>
      </c>
      <c r="AZ136" s="32">
        <v>0.95955056179775278</v>
      </c>
      <c r="BA136" s="32">
        <v>0.97482837528604116</v>
      </c>
      <c r="BB136" s="32">
        <v>0.96247256436395878</v>
      </c>
      <c r="BC136" s="32">
        <v>0.9887640449438202</v>
      </c>
      <c r="BD136" s="32">
        <v>0.96452328159645229</v>
      </c>
      <c r="BE136" s="32">
        <v>0.98654708520179368</v>
      </c>
      <c r="BF136" s="32">
        <v>0.93273542600896864</v>
      </c>
      <c r="BG136" s="32">
        <v>0.9887640449438202</v>
      </c>
      <c r="BH136" s="32">
        <v>0.96636771300448432</v>
      </c>
      <c r="BI136" s="32">
        <v>0.98198198198198194</v>
      </c>
      <c r="BJ136" s="32">
        <v>0.97281193966876012</v>
      </c>
      <c r="BK136" s="32">
        <v>1</v>
      </c>
      <c r="BL136" s="32">
        <v>0.91928251121076232</v>
      </c>
      <c r="BM136" s="32">
        <v>0.90929705215419498</v>
      </c>
      <c r="BN136" s="32">
        <v>0.89819004524886881</v>
      </c>
      <c r="BO136" s="32">
        <v>0.8868778280542986</v>
      </c>
      <c r="BP136" s="32">
        <v>0.93273542600896864</v>
      </c>
      <c r="BQ136" s="32">
        <v>0.91928251121076232</v>
      </c>
      <c r="BR136" s="32">
        <v>0.92366648198397949</v>
      </c>
      <c r="BS136" s="32">
        <v>0.97482837528604116</v>
      </c>
      <c r="BT136" s="32">
        <v>0.92413793103448272</v>
      </c>
      <c r="BU136" s="32">
        <v>0.99772209567198178</v>
      </c>
      <c r="BV136" s="32">
        <v>0.92500000000000004</v>
      </c>
      <c r="BW136" s="32">
        <v>0.95632183908045976</v>
      </c>
      <c r="BX136" s="32">
        <v>0.92413793103448272</v>
      </c>
      <c r="BY136" s="32">
        <v>0.9221967963386728</v>
      </c>
      <c r="BZ136" s="32">
        <v>0.94633499549230304</v>
      </c>
      <c r="CA136" s="32">
        <v>0.99313501144164762</v>
      </c>
      <c r="CB136" s="32">
        <v>0.93665158371040724</v>
      </c>
      <c r="CC136" s="32">
        <v>1</v>
      </c>
      <c r="CD136" s="32">
        <v>0.96551724137931039</v>
      </c>
      <c r="CE136" s="32">
        <v>0.97254004576659037</v>
      </c>
      <c r="CF136" s="32">
        <v>0.95691609977324266</v>
      </c>
      <c r="CG136" s="32">
        <v>0.97045454545454546</v>
      </c>
      <c r="CH136" s="32">
        <v>0.97074493250367755</v>
      </c>
      <c r="CI136" s="32">
        <v>0.98398169336384445</v>
      </c>
      <c r="CJ136" s="32">
        <v>0.95973154362416102</v>
      </c>
      <c r="CK136" s="32">
        <v>0.97940503432494275</v>
      </c>
      <c r="CL136" s="32">
        <v>0.96825396825396826</v>
      </c>
      <c r="CM136" s="32">
        <v>0.97241379310344822</v>
      </c>
      <c r="CN136" s="32">
        <v>0.97555555555555551</v>
      </c>
      <c r="CO136" s="32">
        <v>0.98405466970387245</v>
      </c>
      <c r="CP136" s="32">
        <v>0.97477089398997041</v>
      </c>
      <c r="CQ136" s="32">
        <v>0.99546485260770978</v>
      </c>
      <c r="CR136" s="32">
        <v>0.98642533936651589</v>
      </c>
      <c r="CS136" s="32">
        <v>0.94594594594594594</v>
      </c>
      <c r="CT136" s="32">
        <v>0.95749440715883671</v>
      </c>
      <c r="CU136" s="32">
        <v>0.99092970521541945</v>
      </c>
      <c r="CV136" s="32">
        <v>0.99773242630385484</v>
      </c>
      <c r="CW136" s="32">
        <v>0.99307159353348728</v>
      </c>
      <c r="CX136" s="32">
        <v>0.98100918144739568</v>
      </c>
      <c r="CY136" s="32">
        <v>0.9753363228699552</v>
      </c>
      <c r="CZ136" s="32">
        <v>0.96875</v>
      </c>
      <c r="DA136" s="32">
        <v>0.97528089887640446</v>
      </c>
      <c r="DB136" s="32">
        <v>0.93243243243243246</v>
      </c>
      <c r="DC136" s="32">
        <v>0.97516930022573367</v>
      </c>
      <c r="DD136" s="32">
        <v>0.98198198198198194</v>
      </c>
      <c r="DE136" s="32">
        <v>0.97986577181208057</v>
      </c>
      <c r="DF136" s="32">
        <v>0.96983095831408406</v>
      </c>
      <c r="DG136" s="32">
        <v>0.86605080831408776</v>
      </c>
      <c r="DH136" s="32">
        <v>0.9620535714285714</v>
      </c>
      <c r="DI136" s="32">
        <v>1</v>
      </c>
      <c r="DJ136" s="32">
        <v>0.93394077448747148</v>
      </c>
      <c r="DK136" s="32">
        <v>0.79907621247113159</v>
      </c>
      <c r="DL136" s="32">
        <v>0.96846846846846846</v>
      </c>
      <c r="DM136" s="32">
        <v>0.85977011494252875</v>
      </c>
      <c r="DN136" s="32">
        <v>0.91276570715889416</v>
      </c>
      <c r="DO136" s="32">
        <v>0.97977528089887644</v>
      </c>
      <c r="DP136" s="32">
        <v>0.94508009153318073</v>
      </c>
      <c r="DQ136" s="32">
        <v>0.98666666666666669</v>
      </c>
      <c r="DR136" s="32">
        <v>0.95322939866369716</v>
      </c>
      <c r="DS136" s="32">
        <v>0.97078651685393258</v>
      </c>
      <c r="DT136" s="32">
        <v>0.97085201793721976</v>
      </c>
      <c r="DU136" s="32">
        <v>0.9866071428571429</v>
      </c>
      <c r="DV136" s="32">
        <v>0.97042815934438809</v>
      </c>
      <c r="DW136" s="32">
        <v>0.9517241379310345</v>
      </c>
      <c r="DX136" s="32">
        <v>0.96355353075170846</v>
      </c>
      <c r="DY136" s="32">
        <v>0.9517241379310345</v>
      </c>
      <c r="DZ136" s="32">
        <v>0.91034482758620694</v>
      </c>
      <c r="EA136" s="32">
        <v>0.95391705069124422</v>
      </c>
      <c r="EB136" s="32">
        <v>0.96355353075170846</v>
      </c>
      <c r="EC136" s="32">
        <v>0.95194508009153322</v>
      </c>
      <c r="ED136" s="32">
        <v>0.94953747081920992</v>
      </c>
      <c r="EE136" s="32">
        <v>0.98636363636363633</v>
      </c>
      <c r="EF136" s="32">
        <v>0.93665158371040724</v>
      </c>
      <c r="EG136" s="32">
        <v>0.95881006864988561</v>
      </c>
      <c r="EH136" s="32">
        <v>0.91571753986332571</v>
      </c>
      <c r="EI136" s="32">
        <v>0.98620689655172411</v>
      </c>
      <c r="EJ136" s="32">
        <v>0.95205479452054798</v>
      </c>
      <c r="EK136" s="32">
        <v>0.96575342465753422</v>
      </c>
      <c r="EL136" s="32">
        <v>0.95736542061672292</v>
      </c>
    </row>
    <row r="137" spans="38:142" x14ac:dyDescent="0.25">
      <c r="AL137" s="19" t="s">
        <v>184</v>
      </c>
      <c r="AM137" s="32">
        <v>0.97674418604651159</v>
      </c>
      <c r="AN137" s="32">
        <v>0.98106060606060608</v>
      </c>
      <c r="AO137" s="32">
        <v>0.99221789883268485</v>
      </c>
      <c r="AP137" s="32">
        <v>0.98872180451127822</v>
      </c>
      <c r="AQ137" s="32">
        <v>0.98467432950191569</v>
      </c>
      <c r="AR137" s="32">
        <v>0.96498054474708173</v>
      </c>
      <c r="AS137" s="32">
        <v>0.98484848484848486</v>
      </c>
      <c r="AT137" s="32">
        <v>0.98189255064979464</v>
      </c>
      <c r="AU137" s="32">
        <v>0.95366795366795365</v>
      </c>
      <c r="AV137" s="32">
        <v>0.99626865671641796</v>
      </c>
      <c r="AW137" s="32">
        <v>0.9765625</v>
      </c>
      <c r="AX137" s="32">
        <v>0.97637795275590555</v>
      </c>
      <c r="AY137" s="32">
        <v>0.96108949416342415</v>
      </c>
      <c r="AZ137" s="32">
        <v>0.97318007662835249</v>
      </c>
      <c r="BA137" s="32">
        <v>0.97709923664122134</v>
      </c>
      <c r="BB137" s="32">
        <v>0.97346369579618219</v>
      </c>
      <c r="BC137" s="32">
        <v>0.93650793650793651</v>
      </c>
      <c r="BD137" s="32">
        <v>0.98467432950191569</v>
      </c>
      <c r="BE137" s="32">
        <v>0.94656488549618323</v>
      </c>
      <c r="BF137" s="32">
        <v>0.95849056603773586</v>
      </c>
      <c r="BG137" s="32">
        <v>0.94230769230769229</v>
      </c>
      <c r="BH137" s="32">
        <v>0.96946564885496178</v>
      </c>
      <c r="BI137" s="32">
        <v>0.953307392996109</v>
      </c>
      <c r="BJ137" s="32">
        <v>0.95590263595750513</v>
      </c>
      <c r="BK137" s="32">
        <v>0.96240601503759393</v>
      </c>
      <c r="BL137" s="32">
        <v>0.94318181818181823</v>
      </c>
      <c r="BM137" s="32">
        <v>0.96254681647940077</v>
      </c>
      <c r="BN137" s="32">
        <v>0.96226415094339623</v>
      </c>
      <c r="BO137" s="32">
        <v>0.94</v>
      </c>
      <c r="BP137" s="32">
        <v>0.90361445783132532</v>
      </c>
      <c r="BQ137" s="32">
        <v>0.88976377952755903</v>
      </c>
      <c r="BR137" s="32">
        <v>0.93768243400015627</v>
      </c>
      <c r="BS137" s="32">
        <v>0.98127340823970033</v>
      </c>
      <c r="BT137" s="32">
        <v>0.98113207547169812</v>
      </c>
      <c r="BU137" s="32">
        <v>0.95833333333333337</v>
      </c>
      <c r="BV137" s="32">
        <v>0.95488721804511278</v>
      </c>
      <c r="BW137" s="32">
        <v>0.96654275092936803</v>
      </c>
      <c r="BX137" s="32">
        <v>0.96511627906976749</v>
      </c>
      <c r="BY137" s="32">
        <v>0.97744360902255634</v>
      </c>
      <c r="BZ137" s="32">
        <v>0.96924695344450507</v>
      </c>
      <c r="CA137" s="32">
        <v>0.98106060606060608</v>
      </c>
      <c r="CB137" s="32">
        <v>0.96551724137931039</v>
      </c>
      <c r="CC137" s="32">
        <v>0.97761194029850751</v>
      </c>
      <c r="CD137" s="32">
        <v>0.97769516728624539</v>
      </c>
      <c r="CE137" s="32">
        <v>0.95864661654135341</v>
      </c>
      <c r="CF137" s="32">
        <v>0.96268656716417911</v>
      </c>
      <c r="CG137" s="32">
        <v>0.96240601503759393</v>
      </c>
      <c r="CH137" s="32">
        <v>0.96937487910968512</v>
      </c>
      <c r="CI137" s="32">
        <v>0.99224806201550386</v>
      </c>
      <c r="CJ137" s="32">
        <v>0.95094339622641511</v>
      </c>
      <c r="CK137" s="32">
        <v>1</v>
      </c>
      <c r="CL137" s="32">
        <v>0.98076923076923073</v>
      </c>
      <c r="CM137" s="32">
        <v>0.96875</v>
      </c>
      <c r="CN137" s="32">
        <v>0.96254681647940077</v>
      </c>
      <c r="CO137" s="32">
        <v>0.97358490566037736</v>
      </c>
      <c r="CP137" s="32">
        <v>0.97554891587870407</v>
      </c>
      <c r="CQ137" s="32">
        <v>0.97254901960784312</v>
      </c>
      <c r="CR137" s="32">
        <v>0.96168582375478928</v>
      </c>
      <c r="CS137" s="32">
        <v>0.97254901960784312</v>
      </c>
      <c r="CT137" s="32">
        <v>0.9765625</v>
      </c>
      <c r="CU137" s="32">
        <v>0.97647058823529409</v>
      </c>
      <c r="CV137" s="32">
        <v>0.97701149425287359</v>
      </c>
      <c r="CW137" s="32">
        <v>0.97692307692307689</v>
      </c>
      <c r="CX137" s="32">
        <v>0.97339307462596003</v>
      </c>
      <c r="CY137" s="32">
        <v>0.92607003891050588</v>
      </c>
      <c r="CZ137" s="32">
        <v>0.96153846153846156</v>
      </c>
      <c r="DA137" s="32">
        <v>0.97254901960784312</v>
      </c>
      <c r="DB137" s="32">
        <v>0.97286821705426352</v>
      </c>
      <c r="DC137" s="32">
        <v>0.91828793774319062</v>
      </c>
      <c r="DD137" s="32">
        <v>0.97318007662835249</v>
      </c>
      <c r="DE137" s="32">
        <v>0.95833333333333337</v>
      </c>
      <c r="DF137" s="32">
        <v>0.95468958354513589</v>
      </c>
      <c r="DG137" s="32">
        <v>0.90513833992094861</v>
      </c>
      <c r="DH137" s="32">
        <v>0.9653846153846154</v>
      </c>
      <c r="DI137" s="32">
        <v>0.94094488188976377</v>
      </c>
      <c r="DJ137" s="32">
        <v>0.96946564885496178</v>
      </c>
      <c r="DK137" s="32">
        <v>0.94186046511627908</v>
      </c>
      <c r="DL137" s="32">
        <v>0.98832684824902728</v>
      </c>
      <c r="DM137" s="32">
        <v>0.96564885496183206</v>
      </c>
      <c r="DN137" s="32">
        <v>0.95382423633963254</v>
      </c>
      <c r="DO137" s="32">
        <v>0.97286821705426352</v>
      </c>
      <c r="DP137" s="32">
        <v>0.95785440613026818</v>
      </c>
      <c r="DQ137" s="32">
        <v>0.96124031007751942</v>
      </c>
      <c r="DR137" s="32">
        <v>0.96551724137931039</v>
      </c>
      <c r="DS137" s="32">
        <v>0.9507575757575758</v>
      </c>
      <c r="DT137" s="32">
        <v>0.98854961832061072</v>
      </c>
      <c r="DU137" s="32">
        <v>0.95817490494296575</v>
      </c>
      <c r="DV137" s="32">
        <v>0.96499461052321622</v>
      </c>
      <c r="DW137" s="32">
        <v>0.95180722891566261</v>
      </c>
      <c r="DX137" s="32">
        <v>0.96212121212121215</v>
      </c>
      <c r="DY137" s="32">
        <v>0.95199999999999996</v>
      </c>
      <c r="DZ137" s="32">
        <v>0.99236641221374045</v>
      </c>
      <c r="EA137" s="32">
        <v>0.94921875</v>
      </c>
      <c r="EB137" s="32">
        <v>0.96168582375478928</v>
      </c>
      <c r="EC137" s="32">
        <v>0.921875</v>
      </c>
      <c r="ED137" s="32">
        <v>0.95586777528648637</v>
      </c>
      <c r="EE137" s="32">
        <v>0.92941176470588238</v>
      </c>
      <c r="EF137" s="32">
        <v>0.94656488549618323</v>
      </c>
      <c r="EG137" s="32">
        <v>0.94901960784313721</v>
      </c>
      <c r="EH137" s="32">
        <v>0.96511627906976749</v>
      </c>
      <c r="EI137" s="32">
        <v>0.95736434108527135</v>
      </c>
      <c r="EJ137" s="32">
        <v>0.96138996138996136</v>
      </c>
      <c r="EK137" s="32">
        <v>0.95094339622641511</v>
      </c>
      <c r="EL137" s="32">
        <v>0.95140146225951683</v>
      </c>
    </row>
    <row r="138" spans="38:142" x14ac:dyDescent="0.25">
      <c r="AL138" s="19" t="s">
        <v>185</v>
      </c>
      <c r="AM138" s="32">
        <v>0.93009118541033431</v>
      </c>
      <c r="AN138" s="32">
        <v>0.93597560975609762</v>
      </c>
      <c r="AO138" s="32">
        <v>0.93313069908814594</v>
      </c>
      <c r="AP138" s="32">
        <v>0.92771084337349397</v>
      </c>
      <c r="AQ138" s="32">
        <v>0.97264437689969607</v>
      </c>
      <c r="AR138" s="32">
        <v>0.94528875379939215</v>
      </c>
      <c r="AS138" s="32">
        <v>0.96060606060606057</v>
      </c>
      <c r="AT138" s="32">
        <v>0.94363536127617442</v>
      </c>
      <c r="AU138" s="32">
        <v>0.94207317073170727</v>
      </c>
      <c r="AV138" s="32">
        <v>0.95882352941176474</v>
      </c>
      <c r="AW138" s="32">
        <v>0.88253012048192769</v>
      </c>
      <c r="AX138" s="32">
        <v>0.8814589665653495</v>
      </c>
      <c r="AY138" s="32">
        <v>0.92749244712990941</v>
      </c>
      <c r="AZ138" s="32">
        <v>0.95614035087719296</v>
      </c>
      <c r="BA138" s="32">
        <v>0.95252225519287836</v>
      </c>
      <c r="BB138" s="32">
        <v>0.92872012005581861</v>
      </c>
      <c r="BC138" s="32">
        <v>0.94545454545454544</v>
      </c>
      <c r="BD138" s="32">
        <v>0.95870206489675514</v>
      </c>
      <c r="BE138" s="32">
        <v>0.94578313253012047</v>
      </c>
      <c r="BF138" s="32">
        <v>0.94545454545454544</v>
      </c>
      <c r="BG138" s="32">
        <v>0.93393393393393398</v>
      </c>
      <c r="BH138" s="32">
        <v>0.91317365269461082</v>
      </c>
      <c r="BI138" s="32">
        <v>0.94186046511627908</v>
      </c>
      <c r="BJ138" s="32">
        <v>0.94062319144011297</v>
      </c>
      <c r="BK138" s="32">
        <v>0.86280487804878048</v>
      </c>
      <c r="BL138" s="32">
        <v>0.963963963963964</v>
      </c>
      <c r="BM138" s="32">
        <v>0.90909090909090906</v>
      </c>
      <c r="BN138" s="32">
        <v>0.92899408284023666</v>
      </c>
      <c r="BO138" s="32">
        <v>0.77675840978593269</v>
      </c>
      <c r="BP138" s="32">
        <v>0.93558282208588961</v>
      </c>
      <c r="BQ138" s="32">
        <v>0.74846625766871167</v>
      </c>
      <c r="BR138" s="32">
        <v>0.87509447478348912</v>
      </c>
      <c r="BS138" s="32">
        <v>0.94411764705882351</v>
      </c>
      <c r="BT138" s="32">
        <v>0.93841642228739008</v>
      </c>
      <c r="BU138" s="32">
        <v>0.94047619047619047</v>
      </c>
      <c r="BV138" s="32">
        <v>0.93731343283582091</v>
      </c>
      <c r="BW138" s="32">
        <v>0.94658753709198817</v>
      </c>
      <c r="BX138" s="32">
        <v>0.92397660818713445</v>
      </c>
      <c r="BY138" s="32">
        <v>0.90303030303030307</v>
      </c>
      <c r="BZ138" s="32">
        <v>0.93341687728109302</v>
      </c>
      <c r="CA138" s="32">
        <v>0.903954802259887</v>
      </c>
      <c r="CB138" s="32">
        <v>0.94492753623188408</v>
      </c>
      <c r="CC138" s="32">
        <v>0.90257879656160456</v>
      </c>
      <c r="CD138" s="32">
        <v>0.93465909090909094</v>
      </c>
      <c r="CE138" s="32">
        <v>0.94318181818181823</v>
      </c>
      <c r="CF138" s="32">
        <v>0.93965517241379315</v>
      </c>
      <c r="CG138" s="32">
        <v>0.93063583815028905</v>
      </c>
      <c r="CH138" s="32">
        <v>0.92851329352976664</v>
      </c>
      <c r="CI138" s="32">
        <v>0.91642651296829969</v>
      </c>
      <c r="CJ138" s="32">
        <v>0.96338028169014089</v>
      </c>
      <c r="CK138" s="32">
        <v>0.90751445086705207</v>
      </c>
      <c r="CL138" s="32">
        <v>0.90857142857142859</v>
      </c>
      <c r="CM138" s="32">
        <v>0.9193083573487032</v>
      </c>
      <c r="CN138" s="32">
        <v>0.95616438356164379</v>
      </c>
      <c r="CO138" s="32">
        <v>0.95567867036011078</v>
      </c>
      <c r="CP138" s="32">
        <v>0.93243486933819697</v>
      </c>
      <c r="CQ138" s="32">
        <v>0.92816091954022983</v>
      </c>
      <c r="CR138" s="32">
        <v>0.95329670329670335</v>
      </c>
      <c r="CS138" s="32">
        <v>0.91495601173020524</v>
      </c>
      <c r="CT138" s="32">
        <v>0.91618497109826591</v>
      </c>
      <c r="CU138" s="32">
        <v>0.92816091954022983</v>
      </c>
      <c r="CV138" s="32">
        <v>0.95856353591160226</v>
      </c>
      <c r="CW138" s="32">
        <v>0.92090395480225984</v>
      </c>
      <c r="CX138" s="32">
        <v>0.93146100227421369</v>
      </c>
      <c r="CY138" s="32">
        <v>0.92391304347826086</v>
      </c>
      <c r="CZ138" s="32">
        <v>0.91428571428571426</v>
      </c>
      <c r="DA138" s="32">
        <v>0.93659942363112392</v>
      </c>
      <c r="DB138" s="32">
        <v>0.89565217391304353</v>
      </c>
      <c r="DC138" s="32">
        <v>0.94459833795013848</v>
      </c>
      <c r="DD138" s="32">
        <v>0.94707520891364905</v>
      </c>
      <c r="DE138" s="32">
        <v>0.94166666666666665</v>
      </c>
      <c r="DF138" s="32">
        <v>0.9291129384055139</v>
      </c>
      <c r="DG138" s="32">
        <v>0.92</v>
      </c>
      <c r="DH138" s="32">
        <v>0.93484419263456087</v>
      </c>
      <c r="DI138" s="32">
        <v>0.87134502923976609</v>
      </c>
      <c r="DJ138" s="32">
        <v>0.89766081871345027</v>
      </c>
      <c r="DK138" s="32">
        <v>0.91193181818181823</v>
      </c>
      <c r="DL138" s="32">
        <v>0.94117647058823528</v>
      </c>
      <c r="DM138" s="32">
        <v>0.93521126760563378</v>
      </c>
      <c r="DN138" s="32">
        <v>0.91602422813763784</v>
      </c>
      <c r="DO138" s="32">
        <v>0.9056047197640118</v>
      </c>
      <c r="DP138" s="32">
        <v>0.93390804597701149</v>
      </c>
      <c r="DQ138" s="32">
        <v>0.86904761904761907</v>
      </c>
      <c r="DR138" s="32">
        <v>0.87390029325513197</v>
      </c>
      <c r="DS138" s="32">
        <v>0.91228070175438591</v>
      </c>
      <c r="DT138" s="32">
        <v>0.93785310734463279</v>
      </c>
      <c r="DU138" s="32">
        <v>0.90830945558739251</v>
      </c>
      <c r="DV138" s="32">
        <v>0.90584342039002652</v>
      </c>
      <c r="DW138" s="32">
        <v>0.94871794871794868</v>
      </c>
      <c r="DX138" s="32">
        <v>0.94827586206896552</v>
      </c>
      <c r="DY138" s="32">
        <v>0.94252873563218387</v>
      </c>
      <c r="DZ138" s="32">
        <v>0.93484419263456087</v>
      </c>
      <c r="EA138" s="32">
        <v>0.95415472779369626</v>
      </c>
      <c r="EB138" s="32">
        <v>0.9514285714285714</v>
      </c>
      <c r="EC138" s="32">
        <v>0.96253602305475505</v>
      </c>
      <c r="ED138" s="32">
        <v>0.94892658019009724</v>
      </c>
      <c r="EE138" s="32">
        <v>0.8968481375358166</v>
      </c>
      <c r="EF138" s="32">
        <v>0.94182825484764543</v>
      </c>
      <c r="EG138" s="32">
        <v>0.89884393063583812</v>
      </c>
      <c r="EH138" s="32">
        <v>0.94202898550724634</v>
      </c>
      <c r="EI138" s="32">
        <v>0.94067796610169496</v>
      </c>
      <c r="EJ138" s="32">
        <v>0.93495934959349591</v>
      </c>
      <c r="EK138" s="32">
        <v>0.94822888283378748</v>
      </c>
      <c r="EL138" s="32">
        <v>0.92905935815078922</v>
      </c>
    </row>
    <row r="139" spans="38:142" x14ac:dyDescent="0.25">
      <c r="AL139" s="19" t="s">
        <v>186</v>
      </c>
      <c r="AM139" s="32">
        <v>0.91328828828828834</v>
      </c>
      <c r="AN139" s="32">
        <v>0.94636871508379883</v>
      </c>
      <c r="AO139" s="32">
        <v>0.91799544419134393</v>
      </c>
      <c r="AP139" s="32">
        <v>0.94301675977653632</v>
      </c>
      <c r="AQ139" s="32">
        <v>0.92912513842746403</v>
      </c>
      <c r="AR139" s="32">
        <v>0.93979933110367897</v>
      </c>
      <c r="AS139" s="32">
        <v>0.94327030033370407</v>
      </c>
      <c r="AT139" s="32">
        <v>0.9332662824578305</v>
      </c>
      <c r="AU139" s="32">
        <v>0.9177777777777778</v>
      </c>
      <c r="AV139" s="32">
        <v>0.93451720310765818</v>
      </c>
      <c r="AW139" s="32">
        <v>0.93340857787810383</v>
      </c>
      <c r="AX139" s="32">
        <v>0.93714927048260377</v>
      </c>
      <c r="AY139" s="32">
        <v>0.94567627494456763</v>
      </c>
      <c r="AZ139" s="32">
        <v>0.92880978865406005</v>
      </c>
      <c r="BA139" s="32">
        <v>0.93854748603351956</v>
      </c>
      <c r="BB139" s="32">
        <v>0.93369805412547013</v>
      </c>
      <c r="BC139" s="32">
        <v>0.87</v>
      </c>
      <c r="BD139" s="32">
        <v>0.93672316384180787</v>
      </c>
      <c r="BE139" s="32">
        <v>0.86807095343680707</v>
      </c>
      <c r="BF139" s="32">
        <v>0.87878787878787878</v>
      </c>
      <c r="BG139" s="32">
        <v>0.90604026845637586</v>
      </c>
      <c r="BH139" s="32">
        <v>0.92921348314606744</v>
      </c>
      <c r="BI139" s="32">
        <v>0.9251396648044693</v>
      </c>
      <c r="BJ139" s="32">
        <v>0.90199648749620087</v>
      </c>
      <c r="BK139" s="32">
        <v>0.89623717217787913</v>
      </c>
      <c r="BL139" s="32">
        <v>0.84269662921348309</v>
      </c>
      <c r="BM139" s="32">
        <v>0.9048697621744054</v>
      </c>
      <c r="BN139" s="32">
        <v>0.91924778761061943</v>
      </c>
      <c r="BO139" s="32">
        <v>0.85521885521885521</v>
      </c>
      <c r="BP139" s="32">
        <v>0.78504672897196259</v>
      </c>
      <c r="BQ139" s="32">
        <v>0.79838709677419351</v>
      </c>
      <c r="BR139" s="32">
        <v>0.85738629030591407</v>
      </c>
      <c r="BS139" s="32">
        <v>0.92538975501113585</v>
      </c>
      <c r="BT139" s="32">
        <v>0.92650334075723828</v>
      </c>
      <c r="BU139" s="32">
        <v>0.9159192825112108</v>
      </c>
      <c r="BV139" s="32">
        <v>0.93825799338478499</v>
      </c>
      <c r="BW139" s="32">
        <v>0.92625698324022343</v>
      </c>
      <c r="BX139" s="32">
        <v>0.89886363636363631</v>
      </c>
      <c r="BY139" s="32">
        <v>0.92930444697833525</v>
      </c>
      <c r="BZ139" s="32">
        <v>0.92292791974950927</v>
      </c>
      <c r="CA139" s="32">
        <v>0.91501103752759383</v>
      </c>
      <c r="CB139" s="32">
        <v>0.9525909592061742</v>
      </c>
      <c r="CC139" s="32">
        <v>0.9207589285714286</v>
      </c>
      <c r="CD139" s="32">
        <v>0.93512304250559286</v>
      </c>
      <c r="CE139" s="32">
        <v>0.93487858719646799</v>
      </c>
      <c r="CF139" s="32">
        <v>0.93922651933701662</v>
      </c>
      <c r="CG139" s="32">
        <v>0.92935982339955847</v>
      </c>
      <c r="CH139" s="32">
        <v>0.93242127110626172</v>
      </c>
      <c r="CI139" s="32">
        <v>0.89333333333333331</v>
      </c>
      <c r="CJ139" s="32">
        <v>0.93680709534368067</v>
      </c>
      <c r="CK139" s="32">
        <v>0.92600896860986548</v>
      </c>
      <c r="CL139" s="32">
        <v>0.94091415830546266</v>
      </c>
      <c r="CM139" s="32">
        <v>0.92699115044247793</v>
      </c>
      <c r="CN139" s="32">
        <v>0.93875278396436523</v>
      </c>
      <c r="CO139" s="32">
        <v>0.93458980044345896</v>
      </c>
      <c r="CP139" s="32">
        <v>0.92819961292037778</v>
      </c>
      <c r="CQ139" s="32">
        <v>0.89735099337748347</v>
      </c>
      <c r="CR139" s="32">
        <v>0.9490022172949002</v>
      </c>
      <c r="CS139" s="32">
        <v>0.90246636771300448</v>
      </c>
      <c r="CT139" s="32">
        <v>0.91832229580573954</v>
      </c>
      <c r="CU139" s="32">
        <v>0.90187431091510473</v>
      </c>
      <c r="CV139" s="32">
        <v>0.93605292171995591</v>
      </c>
      <c r="CW139" s="32">
        <v>0.92502756339581038</v>
      </c>
      <c r="CX139" s="32">
        <v>0.91858523860314267</v>
      </c>
      <c r="CY139" s="32">
        <v>0.91770011273957164</v>
      </c>
      <c r="CZ139" s="32">
        <v>0.93888888888888888</v>
      </c>
      <c r="DA139" s="32">
        <v>0.92600896860986548</v>
      </c>
      <c r="DB139" s="32">
        <v>0.93064876957494402</v>
      </c>
      <c r="DC139" s="32">
        <v>0.9274553571428571</v>
      </c>
      <c r="DD139" s="32">
        <v>0.9289678135405105</v>
      </c>
      <c r="DE139" s="32">
        <v>0.93444444444444441</v>
      </c>
      <c r="DF139" s="32">
        <v>0.9291591935630118</v>
      </c>
      <c r="DG139" s="32">
        <v>0.91415830546265331</v>
      </c>
      <c r="DH139" s="32">
        <v>0.94097995545657021</v>
      </c>
      <c r="DI139" s="32">
        <v>0.9082872928176795</v>
      </c>
      <c r="DJ139" s="32">
        <v>0.94256756756756754</v>
      </c>
      <c r="DK139" s="32">
        <v>0.92497200447928329</v>
      </c>
      <c r="DL139" s="32">
        <v>0.92596685082872932</v>
      </c>
      <c r="DM139" s="32">
        <v>0.9397321428571429</v>
      </c>
      <c r="DN139" s="32">
        <v>0.92809487420994663</v>
      </c>
      <c r="DO139" s="32">
        <v>0.8705357142857143</v>
      </c>
      <c r="DP139" s="32">
        <v>0.93868450390189517</v>
      </c>
      <c r="DQ139" s="32">
        <v>0.89932126696832582</v>
      </c>
      <c r="DR139" s="32">
        <v>0.93541202672605794</v>
      </c>
      <c r="DS139" s="32">
        <v>0.91081382385730214</v>
      </c>
      <c r="DT139" s="32">
        <v>0.92178770949720668</v>
      </c>
      <c r="DU139" s="32">
        <v>0.93333333333333335</v>
      </c>
      <c r="DV139" s="32">
        <v>0.91569833979569093</v>
      </c>
      <c r="DW139" s="32">
        <v>0.8811659192825112</v>
      </c>
      <c r="DX139" s="32">
        <v>0.94983277591973247</v>
      </c>
      <c r="DY139" s="32">
        <v>0.88413948256467945</v>
      </c>
      <c r="DZ139" s="32">
        <v>0.92994350282485871</v>
      </c>
      <c r="EA139" s="32">
        <v>0.9159192825112108</v>
      </c>
      <c r="EB139" s="32">
        <v>0.93377483443708609</v>
      </c>
      <c r="EC139" s="32">
        <v>0.91982182628062359</v>
      </c>
      <c r="ED139" s="32">
        <v>0.91637108911724319</v>
      </c>
      <c r="EE139" s="32">
        <v>0.86562150055991038</v>
      </c>
      <c r="EF139" s="32">
        <v>0.93363329583802024</v>
      </c>
      <c r="EG139" s="32">
        <v>0.8679458239277652</v>
      </c>
      <c r="EH139" s="32">
        <v>0.90593505039193734</v>
      </c>
      <c r="EI139" s="32">
        <v>0.89573991031390132</v>
      </c>
      <c r="EJ139" s="32">
        <v>0.92146017699115046</v>
      </c>
      <c r="EK139" s="32">
        <v>0.91235955056179774</v>
      </c>
      <c r="EL139" s="32">
        <v>0.90038504408349751</v>
      </c>
    </row>
    <row r="140" spans="38:142" x14ac:dyDescent="0.25">
      <c r="AL140" s="19" t="s">
        <v>40</v>
      </c>
      <c r="AM140" s="32" t="e">
        <v>#NUM!</v>
      </c>
      <c r="AN140" s="32" t="e">
        <v>#NUM!</v>
      </c>
      <c r="AO140" s="32" t="e">
        <v>#NUM!</v>
      </c>
      <c r="AP140" s="32">
        <v>0.94892002416163268</v>
      </c>
      <c r="AQ140" s="32" t="e">
        <v>#NUM!</v>
      </c>
      <c r="AR140" s="32" t="e">
        <v>#NUM!</v>
      </c>
      <c r="AS140" s="32" t="e">
        <v>#NUM!</v>
      </c>
      <c r="AT140" s="32" t="e">
        <v>#NUM!</v>
      </c>
      <c r="AU140" s="32">
        <v>0.93793227776542953</v>
      </c>
      <c r="AV140" s="32">
        <v>0.95760833646590271</v>
      </c>
      <c r="AW140" s="32" t="e">
        <v>#NUM!</v>
      </c>
      <c r="AX140" s="32" t="e">
        <v>#NUM!</v>
      </c>
      <c r="AY140" s="32">
        <v>0.95329120989592586</v>
      </c>
      <c r="AZ140" s="32">
        <v>0.95591812992793501</v>
      </c>
      <c r="BA140" s="32">
        <v>0.95419103467208233</v>
      </c>
      <c r="BB140" s="32" t="e">
        <v>#NUM!</v>
      </c>
      <c r="BC140" s="32">
        <v>0.93019724224579659</v>
      </c>
      <c r="BD140" s="32" t="e">
        <v>#NUM!</v>
      </c>
      <c r="BE140" s="32">
        <v>0.92479260095064986</v>
      </c>
      <c r="BF140" s="32">
        <v>0.93234825226492013</v>
      </c>
      <c r="BG140" s="32">
        <v>0.94828345823259075</v>
      </c>
      <c r="BH140" s="32">
        <v>0.95724250763101715</v>
      </c>
      <c r="BI140" s="32">
        <v>0.94842448120589629</v>
      </c>
      <c r="BJ140" s="32" t="e">
        <v>#NUM!</v>
      </c>
      <c r="BK140" s="32">
        <v>0.90983799403885912</v>
      </c>
      <c r="BL140" s="32">
        <v>0.91835661297403404</v>
      </c>
      <c r="BM140" s="32">
        <v>0.91674271527876328</v>
      </c>
      <c r="BN140" s="32">
        <v>0.93307241495461235</v>
      </c>
      <c r="BO140" s="32">
        <v>0.88662688286894609</v>
      </c>
      <c r="BP140" s="32">
        <v>0.8458517248817603</v>
      </c>
      <c r="BQ140" s="32">
        <v>0.85133843737329773</v>
      </c>
      <c r="BR140" s="32">
        <v>0.89454668319575403</v>
      </c>
      <c r="BS140" s="32">
        <v>0.94227943643381284</v>
      </c>
      <c r="BT140" s="32">
        <v>0.94087682837166797</v>
      </c>
      <c r="BU140" s="32">
        <v>0.94256975511505248</v>
      </c>
      <c r="BV140" s="32" t="e">
        <v>#NUM!</v>
      </c>
      <c r="BW140" s="32">
        <v>0.94407364963299212</v>
      </c>
      <c r="BX140" s="32">
        <v>0.93118802737476192</v>
      </c>
      <c r="BY140" s="32">
        <v>0.93219883607864451</v>
      </c>
      <c r="BZ140" s="32" t="e">
        <v>#NUM!</v>
      </c>
      <c r="CA140" s="32" t="e">
        <v>#NUM!</v>
      </c>
      <c r="CB140" s="32">
        <v>0.95030994248322198</v>
      </c>
      <c r="CC140" s="32">
        <v>0.93687736703187163</v>
      </c>
      <c r="CD140" s="32">
        <v>0.94749425355748562</v>
      </c>
      <c r="CE140" s="32" t="e">
        <v>#NUM!</v>
      </c>
      <c r="CF140" s="32">
        <v>0.95608289806685409</v>
      </c>
      <c r="CG140" s="32">
        <v>0.95646386443875031</v>
      </c>
      <c r="CH140" s="32" t="e">
        <v>#NUM!</v>
      </c>
      <c r="CI140" s="32">
        <v>0.94198711397129709</v>
      </c>
      <c r="CJ140" s="32">
        <v>0.9551067288642876</v>
      </c>
      <c r="CK140" s="32">
        <v>0.93720834084148252</v>
      </c>
      <c r="CL140" s="32" t="e">
        <v>#NUM!</v>
      </c>
      <c r="CM140" s="32">
        <v>0.95302457895059389</v>
      </c>
      <c r="CN140" s="32">
        <v>0.94976269436898142</v>
      </c>
      <c r="CO140" s="32">
        <v>0.95607043017542304</v>
      </c>
      <c r="CP140" s="32" t="e">
        <v>#NUM!</v>
      </c>
      <c r="CQ140" s="32">
        <v>0.92751180923541821</v>
      </c>
      <c r="CR140" s="32">
        <v>0.95221524918891642</v>
      </c>
      <c r="CS140" s="32">
        <v>0.93142948484709454</v>
      </c>
      <c r="CT140" s="32">
        <v>0.94169513685298667</v>
      </c>
      <c r="CU140" s="32">
        <v>0.94293177247604365</v>
      </c>
      <c r="CV140" s="32">
        <v>0.94992572580130508</v>
      </c>
      <c r="CW140" s="32">
        <v>0.94550753313040059</v>
      </c>
      <c r="CX140" s="32">
        <v>0.94160238736173973</v>
      </c>
      <c r="CY140" s="32">
        <v>0.94061914825968651</v>
      </c>
      <c r="CZ140" s="32">
        <v>0.95234884258201002</v>
      </c>
      <c r="DA140" s="32">
        <v>0.93468571320441629</v>
      </c>
      <c r="DB140" s="32">
        <v>0.94588727117663673</v>
      </c>
      <c r="DC140" s="32">
        <v>0.95338286443471365</v>
      </c>
      <c r="DD140" s="32">
        <v>0.95223792787479999</v>
      </c>
      <c r="DE140" s="32">
        <v>0.9569963967057693</v>
      </c>
      <c r="DF140" s="32">
        <v>0.94802259489114815</v>
      </c>
      <c r="DG140" s="32" t="e">
        <v>#NUM!</v>
      </c>
      <c r="DH140" s="32">
        <v>0.95347281853134536</v>
      </c>
      <c r="DI140" s="32">
        <v>0.92681511764587976</v>
      </c>
      <c r="DJ140" s="32">
        <v>0.93817776518336138</v>
      </c>
      <c r="DK140" s="32">
        <v>0.93822299448101121</v>
      </c>
      <c r="DL140" s="32">
        <v>0.95391230189701637</v>
      </c>
      <c r="DM140" s="32">
        <v>0.94829279753964635</v>
      </c>
      <c r="DN140" s="32" t="e">
        <v>#NUM!</v>
      </c>
      <c r="DO140" s="32">
        <v>0.93033071100943754</v>
      </c>
      <c r="DP140" s="32">
        <v>0.94925728832656975</v>
      </c>
      <c r="DQ140" s="32">
        <v>0.92801842427361281</v>
      </c>
      <c r="DR140" s="32">
        <v>0.93891786969923308</v>
      </c>
      <c r="DS140" s="32">
        <v>0.94519802896920202</v>
      </c>
      <c r="DT140" s="32">
        <v>0.94725265403669889</v>
      </c>
      <c r="DU140" s="32">
        <v>0.94674206787676418</v>
      </c>
      <c r="DV140" s="32">
        <v>0.94081672059878985</v>
      </c>
      <c r="DW140" s="32">
        <v>0.92882084329197656</v>
      </c>
      <c r="DX140" s="32">
        <v>0.9469747548719093</v>
      </c>
      <c r="DY140" s="32">
        <v>0.92489079308995481</v>
      </c>
      <c r="DZ140" s="32">
        <v>0.93565607017677099</v>
      </c>
      <c r="EA140" s="32">
        <v>0.93854688524352636</v>
      </c>
      <c r="EB140" s="32">
        <v>0.94653813952122867</v>
      </c>
      <c r="EC140" s="32">
        <v>0.9429950688603761</v>
      </c>
      <c r="ED140" s="32">
        <v>0.93777465072224786</v>
      </c>
      <c r="EE140" s="32">
        <v>0.92865240505596058</v>
      </c>
      <c r="EF140" s="32">
        <v>0.9466240747969924</v>
      </c>
      <c r="EG140" s="32">
        <v>0.92502104679554298</v>
      </c>
      <c r="EH140" s="32">
        <v>0.93840841423984722</v>
      </c>
      <c r="EI140" s="32" t="e">
        <v>#NUM!</v>
      </c>
      <c r="EJ140" s="32" t="e">
        <v>#NUM!</v>
      </c>
      <c r="EK140" s="32" t="e">
        <v>#NUM!</v>
      </c>
      <c r="EL140" s="32" t="e">
        <v>#NUM!</v>
      </c>
    </row>
    <row r="149" spans="38:56" x14ac:dyDescent="0.25">
      <c r="AL149" s="16" t="s">
        <v>216</v>
      </c>
      <c r="AM149" s="27" t="s">
        <v>44</v>
      </c>
      <c r="AN149" s="27" t="s">
        <v>45</v>
      </c>
      <c r="AO149" s="27" t="s">
        <v>46</v>
      </c>
      <c r="AP149" s="27" t="s">
        <v>47</v>
      </c>
      <c r="AQ149" s="27" t="s">
        <v>48</v>
      </c>
      <c r="AR149" s="27" t="s">
        <v>49</v>
      </c>
      <c r="AS149" s="27" t="s">
        <v>50</v>
      </c>
      <c r="AT149" s="27" t="s">
        <v>51</v>
      </c>
      <c r="AU149" s="27" t="s">
        <v>52</v>
      </c>
      <c r="AV149" s="27" t="s">
        <v>53</v>
      </c>
      <c r="AW149" s="27" t="s">
        <v>54</v>
      </c>
      <c r="AX149" s="27" t="s">
        <v>55</v>
      </c>
      <c r="AY149" s="27" t="s">
        <v>56</v>
      </c>
      <c r="AZ149" s="27"/>
    </row>
    <row r="150" spans="38:56" x14ac:dyDescent="0.25">
      <c r="AL150" s="16" t="s">
        <v>36</v>
      </c>
      <c r="AM150" s="27">
        <f>IF((COUNTIF(AM151:AM287,"&gt;0"))=0, "",(COUNTIF(AM151:AM287,"&gt;0")))</f>
        <v>129</v>
      </c>
      <c r="AN150" s="27">
        <f>IF((COUNTIF(AN151:AN287,"&gt;0"))=0, "",(COUNTIF(AN151:AN287,"&gt;0")))</f>
        <v>130</v>
      </c>
      <c r="AO150" s="27">
        <f>IF((COUNTIF(AO151:AO287,"&gt;0"))=0, "",(COUNTIF(AO151:AO287,"&gt;0")))</f>
        <v>128</v>
      </c>
      <c r="AP150" s="27">
        <f t="shared" ref="AP150:AY150" si="9">IF((COUNTIF(AP151:AP287,"&gt;0"))=0, "",(COUNTIF(AP151:AP287,"&gt;0")))</f>
        <v>124</v>
      </c>
      <c r="AQ150" s="27">
        <f t="shared" si="9"/>
        <v>126</v>
      </c>
      <c r="AR150" s="27">
        <f t="shared" si="9"/>
        <v>129</v>
      </c>
      <c r="AS150" s="27">
        <f t="shared" si="9"/>
        <v>129</v>
      </c>
      <c r="AT150" s="27">
        <f>IF((COUNTIF(AT151:AT287,"&gt;0"))=0, "",(COUNTIF(AT151:AT287,"&gt;0")))</f>
        <v>130</v>
      </c>
      <c r="AU150" s="27">
        <f>IF((COUNTIF(AU151:AU287,"&gt;0"))=0, "",(COUNTIF(AU151:AU287,"&gt;0")))</f>
        <v>122</v>
      </c>
      <c r="AV150" s="27">
        <f t="shared" si="9"/>
        <v>130</v>
      </c>
      <c r="AW150" s="27">
        <f t="shared" si="9"/>
        <v>129</v>
      </c>
      <c r="AX150" s="27">
        <f t="shared" si="9"/>
        <v>128</v>
      </c>
      <c r="AY150" s="27">
        <f t="shared" si="9"/>
        <v>129</v>
      </c>
      <c r="AZ150" s="27"/>
    </row>
    <row r="151" spans="38:56" x14ac:dyDescent="0.25">
      <c r="AL151" s="19" t="s">
        <v>65</v>
      </c>
      <c r="AM151">
        <f>COUNTIF($AM8:$AS8,"&gt;=85%")</f>
        <v>7</v>
      </c>
      <c r="AN151">
        <f>COUNTIF($AU8:$BA8,"&gt;=85%")</f>
        <v>7</v>
      </c>
      <c r="AO151">
        <f>COUNTIF($BC8:$BI8,"&gt;=85%")</f>
        <v>7</v>
      </c>
      <c r="AP151">
        <f>COUNTIF($BK8:$BQ8,"&gt;=85%")</f>
        <v>7</v>
      </c>
      <c r="AQ151">
        <f>COUNTIF($BS8:$BY8,"&gt;=85%")</f>
        <v>7</v>
      </c>
      <c r="AR151">
        <f>COUNTIF($CA8:$CG8,"&gt;=85%")</f>
        <v>7</v>
      </c>
      <c r="AS151">
        <f>COUNTIF($CI8:$CO8,"&gt;=85%")</f>
        <v>7</v>
      </c>
      <c r="AT151">
        <f>COUNTIF($CQ8:$CW8,"&gt;=85%")</f>
        <v>7</v>
      </c>
      <c r="AU151">
        <f>COUNTIF($CY8:$DE8,"&gt;=92%")</f>
        <v>7</v>
      </c>
      <c r="AV151">
        <f>COUNTIF($DG8:$DM8,"&gt;=85%")</f>
        <v>7</v>
      </c>
      <c r="AW151">
        <f>COUNTIF($DO8:$DU8,"&gt;=85%")</f>
        <v>7</v>
      </c>
      <c r="AX151">
        <f>COUNTIF($DW8:$EC8,"&gt;=85%")</f>
        <v>7</v>
      </c>
      <c r="AY151">
        <f>COUNTIF($EE8:$EK8,"&gt;=85%")</f>
        <v>7</v>
      </c>
    </row>
    <row r="152" spans="38:56" x14ac:dyDescent="0.25">
      <c r="AL152" s="19" t="s">
        <v>66</v>
      </c>
      <c r="AM152">
        <f t="shared" ref="AM152:AM215" si="10">COUNTIF($AM9:$AS9,"&gt;=85%")</f>
        <v>0</v>
      </c>
      <c r="AN152">
        <f t="shared" ref="AN152:AN215" si="11">COUNTIF($AU9:$BA9,"&gt;=85%")</f>
        <v>2</v>
      </c>
      <c r="AO152">
        <f t="shared" ref="AO152:AO215" si="12">COUNTIF($BC9:$BI9,"&gt;=85%")</f>
        <v>0</v>
      </c>
      <c r="AP152">
        <f t="shared" ref="AP152:AP215" si="13">COUNTIF($BK9:$BQ9,"&gt;=85%")</f>
        <v>0</v>
      </c>
      <c r="AQ152">
        <f t="shared" ref="AQ152:AQ215" si="14">COUNTIF($BS9:$BY9,"&gt;=85%")</f>
        <v>0</v>
      </c>
      <c r="AR152">
        <f t="shared" ref="AR152:AR215" si="15">COUNTIF($CA9:$CG9,"&gt;=85%")</f>
        <v>0</v>
      </c>
      <c r="AS152">
        <f t="shared" ref="AS152:AS215" si="16">COUNTIF($CI9:$CO9,"&gt;=85%")</f>
        <v>0</v>
      </c>
      <c r="AT152">
        <f t="shared" ref="AT152:AT215" si="17">COUNTIF($CQ9:$CW9,"&gt;=85%")</f>
        <v>0</v>
      </c>
      <c r="AU152">
        <f t="shared" ref="AU152:AU215" si="18">COUNTIF($CY9:$DE9,"&gt;=92%")</f>
        <v>0</v>
      </c>
      <c r="AV152">
        <f t="shared" ref="AV152:AV215" si="19">COUNTIF($DG9:$DM9,"&gt;=85%")</f>
        <v>1</v>
      </c>
      <c r="AW152">
        <f t="shared" ref="AW152:AW215" si="20">COUNTIF($DO9:$DU9,"&gt;=85%")</f>
        <v>2</v>
      </c>
      <c r="AX152">
        <f t="shared" ref="AX152:AX215" si="21">COUNTIF($DW9:$EC9,"&gt;=85%")</f>
        <v>0</v>
      </c>
      <c r="AY152">
        <f t="shared" ref="AY152:AY215" si="22">COUNTIF($EE9:$EK9,"&gt;=85%")</f>
        <v>0</v>
      </c>
    </row>
    <row r="153" spans="38:56" x14ac:dyDescent="0.25">
      <c r="AL153" s="19" t="s">
        <v>67</v>
      </c>
      <c r="AM153">
        <f t="shared" si="10"/>
        <v>7</v>
      </c>
      <c r="AN153">
        <f t="shared" si="11"/>
        <v>7</v>
      </c>
      <c r="AO153">
        <f t="shared" si="12"/>
        <v>7</v>
      </c>
      <c r="AP153">
        <f t="shared" si="13"/>
        <v>7</v>
      </c>
      <c r="AQ153">
        <f t="shared" si="14"/>
        <v>7</v>
      </c>
      <c r="AR153">
        <f t="shared" si="15"/>
        <v>7</v>
      </c>
      <c r="AS153">
        <f t="shared" si="16"/>
        <v>7</v>
      </c>
      <c r="AT153">
        <f t="shared" si="17"/>
        <v>7</v>
      </c>
      <c r="AU153">
        <f t="shared" si="18"/>
        <v>7</v>
      </c>
      <c r="AV153">
        <f t="shared" si="19"/>
        <v>7</v>
      </c>
      <c r="AW153">
        <f t="shared" si="20"/>
        <v>7</v>
      </c>
      <c r="AX153">
        <f t="shared" si="21"/>
        <v>7</v>
      </c>
      <c r="AY153">
        <f t="shared" si="22"/>
        <v>7</v>
      </c>
    </row>
    <row r="154" spans="38:56" x14ac:dyDescent="0.25">
      <c r="AL154" s="19" t="s">
        <v>68</v>
      </c>
      <c r="AM154">
        <f t="shared" si="10"/>
        <v>7</v>
      </c>
      <c r="AN154">
        <f t="shared" si="11"/>
        <v>7</v>
      </c>
      <c r="AO154">
        <f t="shared" si="12"/>
        <v>7</v>
      </c>
      <c r="AP154">
        <f t="shared" si="13"/>
        <v>7</v>
      </c>
      <c r="AQ154">
        <f t="shared" si="14"/>
        <v>7</v>
      </c>
      <c r="AR154">
        <f t="shared" si="15"/>
        <v>7</v>
      </c>
      <c r="AS154">
        <f t="shared" si="16"/>
        <v>7</v>
      </c>
      <c r="AT154">
        <f t="shared" si="17"/>
        <v>7</v>
      </c>
      <c r="AU154">
        <f t="shared" si="18"/>
        <v>7</v>
      </c>
      <c r="AV154">
        <f t="shared" si="19"/>
        <v>7</v>
      </c>
      <c r="AW154">
        <f t="shared" si="20"/>
        <v>7</v>
      </c>
      <c r="AX154">
        <f t="shared" si="21"/>
        <v>7</v>
      </c>
      <c r="AY154">
        <f t="shared" si="22"/>
        <v>7</v>
      </c>
      <c r="BD154" s="46">
        <f>123/132</f>
        <v>0.93181818181818177</v>
      </c>
    </row>
    <row r="155" spans="38:56" x14ac:dyDescent="0.25">
      <c r="AL155" s="19" t="s">
        <v>69</v>
      </c>
      <c r="AM155">
        <f t="shared" si="10"/>
        <v>7</v>
      </c>
      <c r="AN155">
        <f t="shared" si="11"/>
        <v>7</v>
      </c>
      <c r="AO155">
        <f t="shared" si="12"/>
        <v>7</v>
      </c>
      <c r="AP155">
        <f t="shared" si="13"/>
        <v>6</v>
      </c>
      <c r="AQ155">
        <f t="shared" si="14"/>
        <v>7</v>
      </c>
      <c r="AR155">
        <f t="shared" si="15"/>
        <v>7</v>
      </c>
      <c r="AS155">
        <f t="shared" si="16"/>
        <v>7</v>
      </c>
      <c r="AT155">
        <f t="shared" si="17"/>
        <v>7</v>
      </c>
      <c r="AU155">
        <f t="shared" si="18"/>
        <v>7</v>
      </c>
      <c r="AV155">
        <f t="shared" si="19"/>
        <v>6</v>
      </c>
      <c r="AW155">
        <f t="shared" si="20"/>
        <v>7</v>
      </c>
      <c r="AX155">
        <f t="shared" si="21"/>
        <v>7</v>
      </c>
      <c r="AY155">
        <f t="shared" si="22"/>
        <v>7</v>
      </c>
    </row>
    <row r="156" spans="38:56" x14ac:dyDescent="0.25">
      <c r="AL156" s="19" t="s">
        <v>70</v>
      </c>
      <c r="AM156">
        <f t="shared" si="10"/>
        <v>7</v>
      </c>
      <c r="AN156">
        <f t="shared" si="11"/>
        <v>7</v>
      </c>
      <c r="AO156">
        <f t="shared" si="12"/>
        <v>7</v>
      </c>
      <c r="AP156">
        <f t="shared" si="13"/>
        <v>7</v>
      </c>
      <c r="AQ156">
        <f t="shared" si="14"/>
        <v>7</v>
      </c>
      <c r="AR156">
        <f t="shared" si="15"/>
        <v>7</v>
      </c>
      <c r="AS156">
        <f t="shared" si="16"/>
        <v>7</v>
      </c>
      <c r="AT156">
        <f t="shared" si="17"/>
        <v>7</v>
      </c>
      <c r="AU156">
        <f t="shared" si="18"/>
        <v>7</v>
      </c>
      <c r="AV156">
        <f t="shared" si="19"/>
        <v>7</v>
      </c>
      <c r="AW156">
        <f t="shared" si="20"/>
        <v>7</v>
      </c>
      <c r="AX156">
        <f t="shared" si="21"/>
        <v>7</v>
      </c>
      <c r="AY156">
        <f t="shared" si="22"/>
        <v>7</v>
      </c>
    </row>
    <row r="157" spans="38:56" x14ac:dyDescent="0.25">
      <c r="AL157" s="19" t="s">
        <v>71</v>
      </c>
      <c r="AM157">
        <f t="shared" si="10"/>
        <v>7</v>
      </c>
      <c r="AN157">
        <f t="shared" si="11"/>
        <v>5</v>
      </c>
      <c r="AO157">
        <f t="shared" si="12"/>
        <v>6</v>
      </c>
      <c r="AP157">
        <f t="shared" si="13"/>
        <v>4</v>
      </c>
      <c r="AQ157">
        <f t="shared" si="14"/>
        <v>6</v>
      </c>
      <c r="AR157">
        <f t="shared" si="15"/>
        <v>7</v>
      </c>
      <c r="AS157">
        <f t="shared" si="16"/>
        <v>7</v>
      </c>
      <c r="AT157">
        <f t="shared" si="17"/>
        <v>7</v>
      </c>
      <c r="AU157">
        <f t="shared" si="18"/>
        <v>7</v>
      </c>
      <c r="AV157">
        <f t="shared" si="19"/>
        <v>7</v>
      </c>
      <c r="AW157">
        <f t="shared" si="20"/>
        <v>7</v>
      </c>
      <c r="AX157">
        <f t="shared" si="21"/>
        <v>7</v>
      </c>
      <c r="AY157">
        <f t="shared" si="22"/>
        <v>7</v>
      </c>
    </row>
    <row r="158" spans="38:56" x14ac:dyDescent="0.25">
      <c r="AL158" s="19" t="s">
        <v>72</v>
      </c>
      <c r="AM158">
        <f t="shared" si="10"/>
        <v>7</v>
      </c>
      <c r="AN158">
        <f>COUNTIF($AU15:$BA15,"&gt;=85%")</f>
        <v>7</v>
      </c>
      <c r="AO158">
        <f t="shared" si="12"/>
        <v>7</v>
      </c>
      <c r="AP158">
        <f t="shared" si="13"/>
        <v>7</v>
      </c>
      <c r="AQ158">
        <f t="shared" si="14"/>
        <v>7</v>
      </c>
      <c r="AR158">
        <f t="shared" si="15"/>
        <v>7</v>
      </c>
      <c r="AS158">
        <f t="shared" si="16"/>
        <v>7</v>
      </c>
      <c r="AT158">
        <f t="shared" si="17"/>
        <v>7</v>
      </c>
      <c r="AU158">
        <f t="shared" si="18"/>
        <v>7</v>
      </c>
      <c r="AV158">
        <f t="shared" si="19"/>
        <v>7</v>
      </c>
      <c r="AW158">
        <f t="shared" si="20"/>
        <v>7</v>
      </c>
      <c r="AX158">
        <f t="shared" si="21"/>
        <v>7</v>
      </c>
      <c r="AY158">
        <f t="shared" si="22"/>
        <v>7</v>
      </c>
    </row>
    <row r="159" spans="38:56" x14ac:dyDescent="0.25">
      <c r="AL159" s="19" t="s">
        <v>73</v>
      </c>
      <c r="AM159">
        <f t="shared" si="10"/>
        <v>4</v>
      </c>
      <c r="AN159">
        <f t="shared" si="11"/>
        <v>6</v>
      </c>
      <c r="AO159">
        <f t="shared" si="12"/>
        <v>3</v>
      </c>
      <c r="AP159">
        <f t="shared" si="13"/>
        <v>0</v>
      </c>
      <c r="AQ159">
        <f t="shared" si="14"/>
        <v>0</v>
      </c>
      <c r="AR159">
        <f t="shared" si="15"/>
        <v>3</v>
      </c>
      <c r="AS159">
        <f t="shared" si="16"/>
        <v>3</v>
      </c>
      <c r="AT159">
        <f t="shared" si="17"/>
        <v>4</v>
      </c>
      <c r="AU159">
        <f t="shared" si="18"/>
        <v>0</v>
      </c>
      <c r="AV159">
        <f t="shared" si="19"/>
        <v>4</v>
      </c>
      <c r="AW159">
        <f t="shared" si="20"/>
        <v>3</v>
      </c>
      <c r="AX159">
        <f t="shared" si="21"/>
        <v>3</v>
      </c>
      <c r="AY159">
        <f t="shared" si="22"/>
        <v>3</v>
      </c>
    </row>
    <row r="160" spans="38:56" x14ac:dyDescent="0.25">
      <c r="AL160" s="19" t="s">
        <v>74</v>
      </c>
      <c r="AM160">
        <f t="shared" si="10"/>
        <v>7</v>
      </c>
      <c r="AN160">
        <f t="shared" si="11"/>
        <v>7</v>
      </c>
      <c r="AO160">
        <f t="shared" si="12"/>
        <v>7</v>
      </c>
      <c r="AP160">
        <f t="shared" si="13"/>
        <v>7</v>
      </c>
      <c r="AQ160">
        <f t="shared" si="14"/>
        <v>7</v>
      </c>
      <c r="AR160">
        <f t="shared" si="15"/>
        <v>7</v>
      </c>
      <c r="AS160">
        <f t="shared" si="16"/>
        <v>7</v>
      </c>
      <c r="AT160">
        <f t="shared" si="17"/>
        <v>7</v>
      </c>
      <c r="AU160">
        <f t="shared" si="18"/>
        <v>7</v>
      </c>
      <c r="AV160">
        <f t="shared" si="19"/>
        <v>7</v>
      </c>
      <c r="AW160">
        <f t="shared" si="20"/>
        <v>7</v>
      </c>
      <c r="AX160">
        <f t="shared" si="21"/>
        <v>7</v>
      </c>
      <c r="AY160">
        <f t="shared" si="22"/>
        <v>7</v>
      </c>
    </row>
    <row r="161" spans="38:51" x14ac:dyDescent="0.25">
      <c r="AL161" s="19" t="s">
        <v>75</v>
      </c>
      <c r="AM161">
        <f t="shared" si="10"/>
        <v>7</v>
      </c>
      <c r="AN161">
        <f t="shared" si="11"/>
        <v>7</v>
      </c>
      <c r="AO161">
        <f t="shared" si="12"/>
        <v>7</v>
      </c>
      <c r="AP161">
        <f t="shared" si="13"/>
        <v>5</v>
      </c>
      <c r="AQ161">
        <f t="shared" si="14"/>
        <v>7</v>
      </c>
      <c r="AR161">
        <f t="shared" si="15"/>
        <v>7</v>
      </c>
      <c r="AS161">
        <f t="shared" si="16"/>
        <v>7</v>
      </c>
      <c r="AT161">
        <f t="shared" si="17"/>
        <v>7</v>
      </c>
      <c r="AU161">
        <f t="shared" si="18"/>
        <v>5</v>
      </c>
      <c r="AV161">
        <f t="shared" si="19"/>
        <v>7</v>
      </c>
      <c r="AW161">
        <f t="shared" si="20"/>
        <v>7</v>
      </c>
      <c r="AX161">
        <f t="shared" si="21"/>
        <v>7</v>
      </c>
      <c r="AY161">
        <f t="shared" si="22"/>
        <v>7</v>
      </c>
    </row>
    <row r="162" spans="38:51" x14ac:dyDescent="0.25">
      <c r="AL162" s="19" t="s">
        <v>76</v>
      </c>
      <c r="AM162">
        <f t="shared" si="10"/>
        <v>7</v>
      </c>
      <c r="AN162">
        <f t="shared" si="11"/>
        <v>7</v>
      </c>
      <c r="AO162">
        <f t="shared" si="12"/>
        <v>7</v>
      </c>
      <c r="AP162">
        <f t="shared" si="13"/>
        <v>7</v>
      </c>
      <c r="AQ162">
        <f t="shared" si="14"/>
        <v>7</v>
      </c>
      <c r="AR162">
        <f t="shared" si="15"/>
        <v>7</v>
      </c>
      <c r="AS162">
        <f t="shared" si="16"/>
        <v>7</v>
      </c>
      <c r="AT162">
        <f t="shared" si="17"/>
        <v>7</v>
      </c>
      <c r="AU162">
        <f t="shared" si="18"/>
        <v>7</v>
      </c>
      <c r="AV162">
        <f t="shared" si="19"/>
        <v>7</v>
      </c>
      <c r="AW162">
        <f t="shared" si="20"/>
        <v>7</v>
      </c>
      <c r="AX162">
        <f t="shared" si="21"/>
        <v>7</v>
      </c>
      <c r="AY162">
        <f t="shared" si="22"/>
        <v>7</v>
      </c>
    </row>
    <row r="163" spans="38:51" x14ac:dyDescent="0.25">
      <c r="AL163" s="19" t="s">
        <v>77</v>
      </c>
      <c r="AM163">
        <f t="shared" si="10"/>
        <v>7</v>
      </c>
      <c r="AN163">
        <f t="shared" si="11"/>
        <v>7</v>
      </c>
      <c r="AO163">
        <f t="shared" si="12"/>
        <v>7</v>
      </c>
      <c r="AP163">
        <f t="shared" si="13"/>
        <v>7</v>
      </c>
      <c r="AQ163">
        <f t="shared" si="14"/>
        <v>7</v>
      </c>
      <c r="AR163">
        <f t="shared" si="15"/>
        <v>7</v>
      </c>
      <c r="AS163">
        <f t="shared" si="16"/>
        <v>7</v>
      </c>
      <c r="AT163">
        <f t="shared" si="17"/>
        <v>7</v>
      </c>
      <c r="AU163">
        <f t="shared" si="18"/>
        <v>7</v>
      </c>
      <c r="AV163">
        <f t="shared" si="19"/>
        <v>7</v>
      </c>
      <c r="AW163">
        <f t="shared" si="20"/>
        <v>7</v>
      </c>
      <c r="AX163">
        <f t="shared" si="21"/>
        <v>7</v>
      </c>
      <c r="AY163">
        <f t="shared" si="22"/>
        <v>7</v>
      </c>
    </row>
    <row r="164" spans="38:51" x14ac:dyDescent="0.25">
      <c r="AL164" s="19" t="s">
        <v>78</v>
      </c>
      <c r="AM164">
        <f t="shared" si="10"/>
        <v>7</v>
      </c>
      <c r="AN164">
        <f t="shared" si="11"/>
        <v>7</v>
      </c>
      <c r="AO164">
        <f t="shared" si="12"/>
        <v>7</v>
      </c>
      <c r="AP164">
        <f t="shared" si="13"/>
        <v>7</v>
      </c>
      <c r="AQ164">
        <f t="shared" si="14"/>
        <v>7</v>
      </c>
      <c r="AR164">
        <f t="shared" si="15"/>
        <v>7</v>
      </c>
      <c r="AS164">
        <f t="shared" si="16"/>
        <v>7</v>
      </c>
      <c r="AT164">
        <f t="shared" si="17"/>
        <v>6</v>
      </c>
      <c r="AU164">
        <f t="shared" si="18"/>
        <v>7</v>
      </c>
      <c r="AV164">
        <f t="shared" si="19"/>
        <v>7</v>
      </c>
      <c r="AW164">
        <f t="shared" si="20"/>
        <v>7</v>
      </c>
      <c r="AX164">
        <f t="shared" si="21"/>
        <v>7</v>
      </c>
      <c r="AY164">
        <f t="shared" si="22"/>
        <v>7</v>
      </c>
    </row>
    <row r="165" spans="38:51" x14ac:dyDescent="0.25">
      <c r="AL165" s="19" t="s">
        <v>79</v>
      </c>
      <c r="AM165">
        <f t="shared" si="10"/>
        <v>7</v>
      </c>
      <c r="AN165">
        <f t="shared" si="11"/>
        <v>7</v>
      </c>
      <c r="AO165">
        <f t="shared" si="12"/>
        <v>7</v>
      </c>
      <c r="AP165">
        <f t="shared" si="13"/>
        <v>6</v>
      </c>
      <c r="AQ165">
        <f t="shared" si="14"/>
        <v>7</v>
      </c>
      <c r="AR165">
        <f t="shared" si="15"/>
        <v>7</v>
      </c>
      <c r="AS165">
        <f t="shared" si="16"/>
        <v>7</v>
      </c>
      <c r="AT165">
        <f t="shared" si="17"/>
        <v>7</v>
      </c>
      <c r="AU165">
        <f t="shared" si="18"/>
        <v>1</v>
      </c>
      <c r="AV165">
        <f t="shared" si="19"/>
        <v>7</v>
      </c>
      <c r="AW165">
        <f t="shared" si="20"/>
        <v>7</v>
      </c>
      <c r="AX165">
        <f t="shared" si="21"/>
        <v>7</v>
      </c>
      <c r="AY165">
        <f t="shared" si="22"/>
        <v>7</v>
      </c>
    </row>
    <row r="166" spans="38:51" x14ac:dyDescent="0.25">
      <c r="AL166" s="19" t="s">
        <v>80</v>
      </c>
      <c r="AM166">
        <f t="shared" si="10"/>
        <v>7</v>
      </c>
      <c r="AN166">
        <f t="shared" si="11"/>
        <v>7</v>
      </c>
      <c r="AO166">
        <f t="shared" si="12"/>
        <v>7</v>
      </c>
      <c r="AP166">
        <f t="shared" si="13"/>
        <v>3</v>
      </c>
      <c r="AQ166">
        <f t="shared" si="14"/>
        <v>7</v>
      </c>
      <c r="AR166">
        <f t="shared" si="15"/>
        <v>7</v>
      </c>
      <c r="AS166">
        <f t="shared" si="16"/>
        <v>7</v>
      </c>
      <c r="AT166">
        <f t="shared" si="17"/>
        <v>7</v>
      </c>
      <c r="AU166">
        <f t="shared" si="18"/>
        <v>4</v>
      </c>
      <c r="AV166">
        <f t="shared" si="19"/>
        <v>7</v>
      </c>
      <c r="AW166">
        <f t="shared" si="20"/>
        <v>7</v>
      </c>
      <c r="AX166">
        <f t="shared" si="21"/>
        <v>7</v>
      </c>
      <c r="AY166">
        <f t="shared" si="22"/>
        <v>7</v>
      </c>
    </row>
    <row r="167" spans="38:51" x14ac:dyDescent="0.25">
      <c r="AL167" s="19" t="s">
        <v>81</v>
      </c>
      <c r="AM167">
        <f t="shared" si="10"/>
        <v>7</v>
      </c>
      <c r="AN167">
        <f t="shared" si="11"/>
        <v>5</v>
      </c>
      <c r="AO167">
        <f t="shared" si="12"/>
        <v>7</v>
      </c>
      <c r="AP167">
        <f t="shared" si="13"/>
        <v>7</v>
      </c>
      <c r="AQ167">
        <f t="shared" si="14"/>
        <v>7</v>
      </c>
      <c r="AR167">
        <f t="shared" si="15"/>
        <v>7</v>
      </c>
      <c r="AS167">
        <f t="shared" si="16"/>
        <v>7</v>
      </c>
      <c r="AT167">
        <f t="shared" si="17"/>
        <v>7</v>
      </c>
      <c r="AU167">
        <f t="shared" si="18"/>
        <v>7</v>
      </c>
      <c r="AV167">
        <f t="shared" si="19"/>
        <v>7</v>
      </c>
      <c r="AW167">
        <f t="shared" si="20"/>
        <v>7</v>
      </c>
      <c r="AX167">
        <f t="shared" si="21"/>
        <v>7</v>
      </c>
      <c r="AY167">
        <f t="shared" si="22"/>
        <v>4</v>
      </c>
    </row>
    <row r="168" spans="38:51" x14ac:dyDescent="0.25">
      <c r="AL168" s="19" t="s">
        <v>82</v>
      </c>
      <c r="AM168">
        <f t="shared" si="10"/>
        <v>7</v>
      </c>
      <c r="AN168">
        <f t="shared" si="11"/>
        <v>7</v>
      </c>
      <c r="AO168">
        <f t="shared" si="12"/>
        <v>7</v>
      </c>
      <c r="AP168">
        <f t="shared" si="13"/>
        <v>7</v>
      </c>
      <c r="AQ168">
        <f t="shared" si="14"/>
        <v>7</v>
      </c>
      <c r="AR168">
        <f t="shared" si="15"/>
        <v>7</v>
      </c>
      <c r="AS168">
        <f t="shared" si="16"/>
        <v>7</v>
      </c>
      <c r="AT168">
        <f t="shared" si="17"/>
        <v>7</v>
      </c>
      <c r="AU168">
        <f t="shared" si="18"/>
        <v>6</v>
      </c>
      <c r="AV168">
        <f t="shared" si="19"/>
        <v>7</v>
      </c>
      <c r="AW168">
        <f t="shared" si="20"/>
        <v>7</v>
      </c>
      <c r="AX168">
        <f t="shared" si="21"/>
        <v>7</v>
      </c>
      <c r="AY168">
        <f t="shared" si="22"/>
        <v>7</v>
      </c>
    </row>
    <row r="169" spans="38:51" x14ac:dyDescent="0.25">
      <c r="AL169" s="19" t="s">
        <v>83</v>
      </c>
      <c r="AM169">
        <f t="shared" si="10"/>
        <v>7</v>
      </c>
      <c r="AN169">
        <f t="shared" si="11"/>
        <v>6</v>
      </c>
      <c r="AO169">
        <f t="shared" si="12"/>
        <v>7</v>
      </c>
      <c r="AP169">
        <f t="shared" si="13"/>
        <v>7</v>
      </c>
      <c r="AQ169">
        <f t="shared" si="14"/>
        <v>7</v>
      </c>
      <c r="AR169">
        <f t="shared" si="15"/>
        <v>7</v>
      </c>
      <c r="AS169">
        <f t="shared" si="16"/>
        <v>7</v>
      </c>
      <c r="AT169">
        <f t="shared" si="17"/>
        <v>7</v>
      </c>
      <c r="AU169">
        <f t="shared" si="18"/>
        <v>7</v>
      </c>
      <c r="AV169">
        <f t="shared" si="19"/>
        <v>7</v>
      </c>
      <c r="AW169">
        <f t="shared" si="20"/>
        <v>7</v>
      </c>
      <c r="AX169">
        <f t="shared" si="21"/>
        <v>7</v>
      </c>
      <c r="AY169">
        <f t="shared" si="22"/>
        <v>7</v>
      </c>
    </row>
    <row r="170" spans="38:51" x14ac:dyDescent="0.25">
      <c r="AL170" s="19" t="s">
        <v>84</v>
      </c>
      <c r="AM170">
        <f t="shared" si="10"/>
        <v>5</v>
      </c>
      <c r="AN170">
        <f t="shared" si="11"/>
        <v>5</v>
      </c>
      <c r="AO170">
        <f t="shared" si="12"/>
        <v>6</v>
      </c>
      <c r="AP170">
        <f t="shared" si="13"/>
        <v>2</v>
      </c>
      <c r="AQ170">
        <f t="shared" si="14"/>
        <v>7</v>
      </c>
      <c r="AR170">
        <f t="shared" si="15"/>
        <v>7</v>
      </c>
      <c r="AS170">
        <f t="shared" si="16"/>
        <v>6</v>
      </c>
      <c r="AT170">
        <f t="shared" si="17"/>
        <v>7</v>
      </c>
      <c r="AU170">
        <f t="shared" si="18"/>
        <v>0</v>
      </c>
      <c r="AV170">
        <f t="shared" si="19"/>
        <v>5</v>
      </c>
      <c r="AW170">
        <f t="shared" si="20"/>
        <v>5</v>
      </c>
      <c r="AX170">
        <f t="shared" si="21"/>
        <v>6</v>
      </c>
      <c r="AY170">
        <f t="shared" si="22"/>
        <v>6</v>
      </c>
    </row>
    <row r="171" spans="38:51" x14ac:dyDescent="0.25">
      <c r="AL171" s="19" t="s">
        <v>85</v>
      </c>
      <c r="AM171">
        <f t="shared" si="10"/>
        <v>7</v>
      </c>
      <c r="AN171">
        <f t="shared" si="11"/>
        <v>7</v>
      </c>
      <c r="AO171">
        <f t="shared" si="12"/>
        <v>7</v>
      </c>
      <c r="AP171">
        <f t="shared" si="13"/>
        <v>7</v>
      </c>
      <c r="AQ171">
        <f t="shared" si="14"/>
        <v>7</v>
      </c>
      <c r="AR171">
        <f t="shared" si="15"/>
        <v>7</v>
      </c>
      <c r="AS171">
        <f t="shared" si="16"/>
        <v>7</v>
      </c>
      <c r="AT171">
        <f t="shared" si="17"/>
        <v>7</v>
      </c>
      <c r="AU171">
        <f t="shared" si="18"/>
        <v>7</v>
      </c>
      <c r="AV171">
        <f t="shared" si="19"/>
        <v>7</v>
      </c>
      <c r="AW171">
        <f t="shared" si="20"/>
        <v>7</v>
      </c>
      <c r="AX171">
        <f t="shared" si="21"/>
        <v>7</v>
      </c>
      <c r="AY171">
        <f t="shared" si="22"/>
        <v>7</v>
      </c>
    </row>
    <row r="172" spans="38:51" x14ac:dyDescent="0.25">
      <c r="AL172" s="19" t="s">
        <v>86</v>
      </c>
      <c r="AM172">
        <f t="shared" si="10"/>
        <v>7</v>
      </c>
      <c r="AN172">
        <f t="shared" si="11"/>
        <v>7</v>
      </c>
      <c r="AO172">
        <f t="shared" si="12"/>
        <v>7</v>
      </c>
      <c r="AP172">
        <f t="shared" si="13"/>
        <v>5</v>
      </c>
      <c r="AQ172">
        <f t="shared" si="14"/>
        <v>7</v>
      </c>
      <c r="AR172">
        <f t="shared" si="15"/>
        <v>7</v>
      </c>
      <c r="AS172">
        <f t="shared" si="16"/>
        <v>7</v>
      </c>
      <c r="AT172">
        <f t="shared" si="17"/>
        <v>7</v>
      </c>
      <c r="AU172">
        <f t="shared" si="18"/>
        <v>7</v>
      </c>
      <c r="AV172">
        <f t="shared" si="19"/>
        <v>7</v>
      </c>
      <c r="AW172">
        <f t="shared" si="20"/>
        <v>7</v>
      </c>
      <c r="AX172">
        <f t="shared" si="21"/>
        <v>7</v>
      </c>
      <c r="AY172">
        <f t="shared" si="22"/>
        <v>7</v>
      </c>
    </row>
    <row r="173" spans="38:51" x14ac:dyDescent="0.25">
      <c r="AL173" s="19" t="s">
        <v>87</v>
      </c>
      <c r="AM173">
        <f t="shared" si="10"/>
        <v>7</v>
      </c>
      <c r="AN173">
        <f t="shared" si="11"/>
        <v>7</v>
      </c>
      <c r="AO173">
        <f t="shared" si="12"/>
        <v>7</v>
      </c>
      <c r="AP173">
        <f t="shared" si="13"/>
        <v>6</v>
      </c>
      <c r="AQ173">
        <f t="shared" si="14"/>
        <v>7</v>
      </c>
      <c r="AR173">
        <f t="shared" si="15"/>
        <v>7</v>
      </c>
      <c r="AS173">
        <f t="shared" si="16"/>
        <v>7</v>
      </c>
      <c r="AT173">
        <f t="shared" si="17"/>
        <v>7</v>
      </c>
      <c r="AU173">
        <f t="shared" si="18"/>
        <v>7</v>
      </c>
      <c r="AV173">
        <f t="shared" si="19"/>
        <v>7</v>
      </c>
      <c r="AW173">
        <f t="shared" si="20"/>
        <v>7</v>
      </c>
      <c r="AX173">
        <f t="shared" si="21"/>
        <v>7</v>
      </c>
      <c r="AY173">
        <f t="shared" si="22"/>
        <v>7</v>
      </c>
    </row>
    <row r="174" spans="38:51" x14ac:dyDescent="0.25">
      <c r="AL174" s="19" t="s">
        <v>88</v>
      </c>
      <c r="AM174">
        <f t="shared" si="10"/>
        <v>7</v>
      </c>
      <c r="AN174">
        <f t="shared" si="11"/>
        <v>7</v>
      </c>
      <c r="AO174">
        <f t="shared" si="12"/>
        <v>7</v>
      </c>
      <c r="AP174">
        <f t="shared" si="13"/>
        <v>5</v>
      </c>
      <c r="AQ174">
        <f t="shared" si="14"/>
        <v>7</v>
      </c>
      <c r="AR174">
        <f t="shared" si="15"/>
        <v>7</v>
      </c>
      <c r="AS174">
        <f t="shared" si="16"/>
        <v>5</v>
      </c>
      <c r="AT174">
        <f t="shared" si="17"/>
        <v>7</v>
      </c>
      <c r="AU174">
        <f t="shared" si="18"/>
        <v>5</v>
      </c>
      <c r="AV174">
        <f t="shared" si="19"/>
        <v>7</v>
      </c>
      <c r="AW174">
        <f t="shared" si="20"/>
        <v>7</v>
      </c>
      <c r="AX174">
        <f t="shared" si="21"/>
        <v>7</v>
      </c>
      <c r="AY174">
        <f t="shared" si="22"/>
        <v>7</v>
      </c>
    </row>
    <row r="175" spans="38:51" x14ac:dyDescent="0.25">
      <c r="AL175" s="19" t="s">
        <v>89</v>
      </c>
      <c r="AM175">
        <f t="shared" si="10"/>
        <v>7</v>
      </c>
      <c r="AN175">
        <f t="shared" si="11"/>
        <v>7</v>
      </c>
      <c r="AO175">
        <f t="shared" si="12"/>
        <v>7</v>
      </c>
      <c r="AP175">
        <f t="shared" si="13"/>
        <v>7</v>
      </c>
      <c r="AQ175">
        <f t="shared" si="14"/>
        <v>7</v>
      </c>
      <c r="AR175">
        <f t="shared" si="15"/>
        <v>7</v>
      </c>
      <c r="AS175">
        <f t="shared" si="16"/>
        <v>7</v>
      </c>
      <c r="AT175">
        <f t="shared" si="17"/>
        <v>7</v>
      </c>
      <c r="AU175">
        <f t="shared" si="18"/>
        <v>7</v>
      </c>
      <c r="AV175">
        <f t="shared" si="19"/>
        <v>7</v>
      </c>
      <c r="AW175">
        <f t="shared" si="20"/>
        <v>7</v>
      </c>
      <c r="AX175">
        <f t="shared" si="21"/>
        <v>7</v>
      </c>
      <c r="AY175">
        <f t="shared" si="22"/>
        <v>7</v>
      </c>
    </row>
    <row r="176" spans="38:51" x14ac:dyDescent="0.25">
      <c r="AL176" s="19" t="s">
        <v>90</v>
      </c>
      <c r="AM176">
        <f t="shared" si="10"/>
        <v>7</v>
      </c>
      <c r="AN176">
        <f t="shared" si="11"/>
        <v>7</v>
      </c>
      <c r="AO176">
        <f t="shared" si="12"/>
        <v>7</v>
      </c>
      <c r="AP176">
        <f t="shared" si="13"/>
        <v>7</v>
      </c>
      <c r="AQ176">
        <f t="shared" si="14"/>
        <v>7</v>
      </c>
      <c r="AR176">
        <f t="shared" si="15"/>
        <v>7</v>
      </c>
      <c r="AS176">
        <f t="shared" si="16"/>
        <v>6</v>
      </c>
      <c r="AT176">
        <f t="shared" si="17"/>
        <v>7</v>
      </c>
      <c r="AU176">
        <f t="shared" si="18"/>
        <v>7</v>
      </c>
      <c r="AV176">
        <f t="shared" si="19"/>
        <v>7</v>
      </c>
      <c r="AW176">
        <f t="shared" si="20"/>
        <v>7</v>
      </c>
      <c r="AX176">
        <f t="shared" si="21"/>
        <v>7</v>
      </c>
      <c r="AY176">
        <f t="shared" si="22"/>
        <v>7</v>
      </c>
    </row>
    <row r="177" spans="38:51" x14ac:dyDescent="0.25">
      <c r="AL177" s="19" t="s">
        <v>91</v>
      </c>
      <c r="AM177">
        <f t="shared" si="10"/>
        <v>7</v>
      </c>
      <c r="AN177">
        <f t="shared" si="11"/>
        <v>7</v>
      </c>
      <c r="AO177">
        <f t="shared" si="12"/>
        <v>7</v>
      </c>
      <c r="AP177">
        <f t="shared" si="13"/>
        <v>6</v>
      </c>
      <c r="AQ177">
        <f t="shared" si="14"/>
        <v>7</v>
      </c>
      <c r="AR177">
        <f t="shared" si="15"/>
        <v>7</v>
      </c>
      <c r="AS177">
        <f t="shared" si="16"/>
        <v>7</v>
      </c>
      <c r="AT177">
        <f t="shared" si="17"/>
        <v>7</v>
      </c>
      <c r="AU177">
        <f t="shared" si="18"/>
        <v>7</v>
      </c>
      <c r="AV177">
        <f t="shared" si="19"/>
        <v>7</v>
      </c>
      <c r="AW177">
        <f t="shared" si="20"/>
        <v>7</v>
      </c>
      <c r="AX177">
        <f t="shared" si="21"/>
        <v>7</v>
      </c>
      <c r="AY177">
        <f t="shared" si="22"/>
        <v>7</v>
      </c>
    </row>
    <row r="178" spans="38:51" x14ac:dyDescent="0.25">
      <c r="AL178" s="19" t="s">
        <v>92</v>
      </c>
      <c r="AM178">
        <f t="shared" si="10"/>
        <v>7</v>
      </c>
      <c r="AN178">
        <f t="shared" si="11"/>
        <v>7</v>
      </c>
      <c r="AO178">
        <f t="shared" si="12"/>
        <v>5</v>
      </c>
      <c r="AP178">
        <f t="shared" si="13"/>
        <v>6</v>
      </c>
      <c r="AQ178">
        <f t="shared" si="14"/>
        <v>7</v>
      </c>
      <c r="AR178">
        <f t="shared" si="15"/>
        <v>7</v>
      </c>
      <c r="AS178">
        <f t="shared" si="16"/>
        <v>7</v>
      </c>
      <c r="AT178">
        <f t="shared" si="17"/>
        <v>7</v>
      </c>
      <c r="AU178">
        <f t="shared" si="18"/>
        <v>4</v>
      </c>
      <c r="AV178">
        <f t="shared" si="19"/>
        <v>6</v>
      </c>
      <c r="AW178">
        <f t="shared" si="20"/>
        <v>7</v>
      </c>
      <c r="AX178">
        <f t="shared" si="21"/>
        <v>7</v>
      </c>
      <c r="AY178">
        <f t="shared" si="22"/>
        <v>5</v>
      </c>
    </row>
    <row r="179" spans="38:51" x14ac:dyDescent="0.25">
      <c r="AL179" s="19" t="s">
        <v>288</v>
      </c>
      <c r="AM179">
        <f t="shared" si="10"/>
        <v>7</v>
      </c>
      <c r="AN179">
        <f t="shared" si="11"/>
        <v>7</v>
      </c>
      <c r="AO179">
        <f t="shared" si="12"/>
        <v>7</v>
      </c>
      <c r="AP179">
        <f t="shared" si="13"/>
        <v>6</v>
      </c>
      <c r="AQ179">
        <f t="shared" si="14"/>
        <v>7</v>
      </c>
      <c r="AR179">
        <f t="shared" si="15"/>
        <v>6</v>
      </c>
      <c r="AS179">
        <f t="shared" si="16"/>
        <v>7</v>
      </c>
      <c r="AT179">
        <f t="shared" si="17"/>
        <v>7</v>
      </c>
      <c r="AU179">
        <f t="shared" si="18"/>
        <v>6</v>
      </c>
      <c r="AV179">
        <f t="shared" si="19"/>
        <v>7</v>
      </c>
      <c r="AW179">
        <f t="shared" si="20"/>
        <v>7</v>
      </c>
      <c r="AX179">
        <f t="shared" si="21"/>
        <v>7</v>
      </c>
      <c r="AY179">
        <f t="shared" si="22"/>
        <v>7</v>
      </c>
    </row>
    <row r="180" spans="38:51" x14ac:dyDescent="0.25">
      <c r="AL180" s="19" t="s">
        <v>93</v>
      </c>
      <c r="AM180">
        <f t="shared" si="10"/>
        <v>7</v>
      </c>
      <c r="AN180">
        <f t="shared" si="11"/>
        <v>7</v>
      </c>
      <c r="AO180">
        <f t="shared" si="12"/>
        <v>7</v>
      </c>
      <c r="AP180">
        <f t="shared" si="13"/>
        <v>6</v>
      </c>
      <c r="AQ180">
        <f t="shared" si="14"/>
        <v>7</v>
      </c>
      <c r="AR180">
        <f t="shared" si="15"/>
        <v>7</v>
      </c>
      <c r="AS180">
        <f t="shared" si="16"/>
        <v>7</v>
      </c>
      <c r="AT180">
        <f t="shared" si="17"/>
        <v>7</v>
      </c>
      <c r="AU180">
        <f t="shared" si="18"/>
        <v>7</v>
      </c>
      <c r="AV180">
        <f t="shared" si="19"/>
        <v>7</v>
      </c>
      <c r="AW180">
        <f t="shared" si="20"/>
        <v>7</v>
      </c>
      <c r="AX180">
        <f t="shared" si="21"/>
        <v>7</v>
      </c>
      <c r="AY180">
        <f t="shared" si="22"/>
        <v>7</v>
      </c>
    </row>
    <row r="181" spans="38:51" x14ac:dyDescent="0.25">
      <c r="AL181" s="19" t="s">
        <v>94</v>
      </c>
      <c r="AM181">
        <f t="shared" si="10"/>
        <v>0</v>
      </c>
      <c r="AN181">
        <f t="shared" si="11"/>
        <v>0</v>
      </c>
      <c r="AO181">
        <f t="shared" si="12"/>
        <v>0</v>
      </c>
      <c r="AP181">
        <f t="shared" si="13"/>
        <v>0</v>
      </c>
      <c r="AQ181">
        <f t="shared" si="14"/>
        <v>0</v>
      </c>
      <c r="AR181">
        <f t="shared" si="15"/>
        <v>0</v>
      </c>
      <c r="AS181">
        <f t="shared" si="16"/>
        <v>0</v>
      </c>
      <c r="AT181">
        <f t="shared" si="17"/>
        <v>2</v>
      </c>
      <c r="AU181">
        <f t="shared" si="18"/>
        <v>0</v>
      </c>
      <c r="AV181">
        <f t="shared" si="19"/>
        <v>1</v>
      </c>
      <c r="AW181">
        <f t="shared" si="20"/>
        <v>0</v>
      </c>
      <c r="AX181">
        <f t="shared" si="21"/>
        <v>0</v>
      </c>
      <c r="AY181">
        <f t="shared" si="22"/>
        <v>0</v>
      </c>
    </row>
    <row r="182" spans="38:51" x14ac:dyDescent="0.25">
      <c r="AL182" s="19" t="s">
        <v>95</v>
      </c>
      <c r="AM182">
        <f t="shared" si="10"/>
        <v>7</v>
      </c>
      <c r="AN182">
        <f t="shared" si="11"/>
        <v>7</v>
      </c>
      <c r="AO182">
        <f t="shared" si="12"/>
        <v>7</v>
      </c>
      <c r="AP182">
        <f t="shared" si="13"/>
        <v>7</v>
      </c>
      <c r="AQ182">
        <f t="shared" si="14"/>
        <v>7</v>
      </c>
      <c r="AR182">
        <f t="shared" si="15"/>
        <v>7</v>
      </c>
      <c r="AS182">
        <f t="shared" si="16"/>
        <v>7</v>
      </c>
      <c r="AT182">
        <f t="shared" si="17"/>
        <v>7</v>
      </c>
      <c r="AU182">
        <f t="shared" si="18"/>
        <v>7</v>
      </c>
      <c r="AV182">
        <f t="shared" si="19"/>
        <v>7</v>
      </c>
      <c r="AW182">
        <f t="shared" si="20"/>
        <v>7</v>
      </c>
      <c r="AX182">
        <f t="shared" si="21"/>
        <v>7</v>
      </c>
      <c r="AY182">
        <f t="shared" si="22"/>
        <v>7</v>
      </c>
    </row>
    <row r="183" spans="38:51" x14ac:dyDescent="0.25">
      <c r="AL183" s="19" t="s">
        <v>96</v>
      </c>
      <c r="AM183">
        <f t="shared" si="10"/>
        <v>7</v>
      </c>
      <c r="AN183">
        <f t="shared" si="11"/>
        <v>7</v>
      </c>
      <c r="AO183">
        <f t="shared" si="12"/>
        <v>7</v>
      </c>
      <c r="AP183">
        <f t="shared" si="13"/>
        <v>4</v>
      </c>
      <c r="AQ183">
        <f t="shared" si="14"/>
        <v>7</v>
      </c>
      <c r="AR183">
        <f t="shared" si="15"/>
        <v>7</v>
      </c>
      <c r="AS183">
        <f t="shared" si="16"/>
        <v>7</v>
      </c>
      <c r="AT183">
        <f t="shared" si="17"/>
        <v>7</v>
      </c>
      <c r="AU183">
        <f t="shared" si="18"/>
        <v>6</v>
      </c>
      <c r="AV183">
        <f t="shared" si="19"/>
        <v>7</v>
      </c>
      <c r="AW183">
        <f t="shared" si="20"/>
        <v>7</v>
      </c>
      <c r="AX183">
        <f t="shared" si="21"/>
        <v>7</v>
      </c>
      <c r="AY183">
        <f t="shared" si="22"/>
        <v>7</v>
      </c>
    </row>
    <row r="184" spans="38:51" x14ac:dyDescent="0.25">
      <c r="AL184" s="19" t="s">
        <v>97</v>
      </c>
      <c r="AM184">
        <f t="shared" si="10"/>
        <v>7</v>
      </c>
      <c r="AN184">
        <f t="shared" si="11"/>
        <v>7</v>
      </c>
      <c r="AO184">
        <f t="shared" si="12"/>
        <v>7</v>
      </c>
      <c r="AP184">
        <f t="shared" si="13"/>
        <v>7</v>
      </c>
      <c r="AQ184">
        <f t="shared" si="14"/>
        <v>7</v>
      </c>
      <c r="AR184">
        <f t="shared" si="15"/>
        <v>7</v>
      </c>
      <c r="AS184">
        <f t="shared" si="16"/>
        <v>7</v>
      </c>
      <c r="AT184">
        <f t="shared" si="17"/>
        <v>7</v>
      </c>
      <c r="AU184">
        <f t="shared" si="18"/>
        <v>7</v>
      </c>
      <c r="AV184">
        <f t="shared" si="19"/>
        <v>7</v>
      </c>
      <c r="AW184">
        <f t="shared" si="20"/>
        <v>7</v>
      </c>
      <c r="AX184">
        <f t="shared" si="21"/>
        <v>7</v>
      </c>
      <c r="AY184">
        <f t="shared" si="22"/>
        <v>7</v>
      </c>
    </row>
    <row r="185" spans="38:51" x14ac:dyDescent="0.25">
      <c r="AL185" s="19" t="s">
        <v>98</v>
      </c>
      <c r="AM185">
        <f t="shared" si="10"/>
        <v>7</v>
      </c>
      <c r="AN185">
        <f t="shared" si="11"/>
        <v>7</v>
      </c>
      <c r="AO185">
        <f t="shared" si="12"/>
        <v>7</v>
      </c>
      <c r="AP185">
        <f t="shared" si="13"/>
        <v>4</v>
      </c>
      <c r="AQ185">
        <f t="shared" si="14"/>
        <v>7</v>
      </c>
      <c r="AR185">
        <f t="shared" si="15"/>
        <v>7</v>
      </c>
      <c r="AS185">
        <f t="shared" si="16"/>
        <v>7</v>
      </c>
      <c r="AT185">
        <f t="shared" si="17"/>
        <v>7</v>
      </c>
      <c r="AU185">
        <f t="shared" si="18"/>
        <v>7</v>
      </c>
      <c r="AV185">
        <f t="shared" si="19"/>
        <v>7</v>
      </c>
      <c r="AW185">
        <f t="shared" si="20"/>
        <v>6</v>
      </c>
      <c r="AX185">
        <f t="shared" si="21"/>
        <v>6</v>
      </c>
      <c r="AY185">
        <f t="shared" si="22"/>
        <v>7</v>
      </c>
    </row>
    <row r="186" spans="38:51" x14ac:dyDescent="0.25">
      <c r="AL186" s="19" t="s">
        <v>99</v>
      </c>
      <c r="AM186">
        <f t="shared" si="10"/>
        <v>7</v>
      </c>
      <c r="AN186">
        <f t="shared" si="11"/>
        <v>7</v>
      </c>
      <c r="AO186">
        <f t="shared" si="12"/>
        <v>7</v>
      </c>
      <c r="AP186">
        <f t="shared" si="13"/>
        <v>7</v>
      </c>
      <c r="AQ186">
        <f t="shared" si="14"/>
        <v>7</v>
      </c>
      <c r="AR186">
        <f t="shared" si="15"/>
        <v>7</v>
      </c>
      <c r="AS186">
        <f t="shared" si="16"/>
        <v>7</v>
      </c>
      <c r="AT186">
        <f t="shared" si="17"/>
        <v>7</v>
      </c>
      <c r="AU186">
        <f t="shared" si="18"/>
        <v>7</v>
      </c>
      <c r="AV186">
        <f t="shared" si="19"/>
        <v>7</v>
      </c>
      <c r="AW186">
        <f t="shared" si="20"/>
        <v>7</v>
      </c>
      <c r="AX186">
        <f t="shared" si="21"/>
        <v>7</v>
      </c>
      <c r="AY186">
        <f t="shared" si="22"/>
        <v>7</v>
      </c>
    </row>
    <row r="187" spans="38:51" x14ac:dyDescent="0.25">
      <c r="AL187" s="19" t="s">
        <v>100</v>
      </c>
      <c r="AM187">
        <f t="shared" si="10"/>
        <v>6</v>
      </c>
      <c r="AN187">
        <f t="shared" si="11"/>
        <v>5</v>
      </c>
      <c r="AO187">
        <f t="shared" si="12"/>
        <v>4</v>
      </c>
      <c r="AP187">
        <f t="shared" si="13"/>
        <v>1</v>
      </c>
      <c r="AQ187">
        <f t="shared" si="14"/>
        <v>1</v>
      </c>
      <c r="AR187">
        <f t="shared" si="15"/>
        <v>6</v>
      </c>
      <c r="AS187">
        <f t="shared" si="16"/>
        <v>7</v>
      </c>
      <c r="AT187">
        <f t="shared" si="17"/>
        <v>4</v>
      </c>
      <c r="AU187">
        <f t="shared" si="18"/>
        <v>0</v>
      </c>
      <c r="AV187">
        <f t="shared" si="19"/>
        <v>4</v>
      </c>
      <c r="AW187">
        <f t="shared" si="20"/>
        <v>3</v>
      </c>
      <c r="AX187">
        <f t="shared" si="21"/>
        <v>4</v>
      </c>
      <c r="AY187">
        <f t="shared" si="22"/>
        <v>7</v>
      </c>
    </row>
    <row r="188" spans="38:51" x14ac:dyDescent="0.25">
      <c r="AL188" s="19" t="s">
        <v>101</v>
      </c>
      <c r="AM188">
        <f t="shared" si="10"/>
        <v>7</v>
      </c>
      <c r="AN188">
        <f t="shared" si="11"/>
        <v>7</v>
      </c>
      <c r="AO188">
        <f t="shared" si="12"/>
        <v>7</v>
      </c>
      <c r="AP188">
        <f t="shared" si="13"/>
        <v>1</v>
      </c>
      <c r="AQ188">
        <f t="shared" si="14"/>
        <v>7</v>
      </c>
      <c r="AR188">
        <f t="shared" si="15"/>
        <v>7</v>
      </c>
      <c r="AS188">
        <f t="shared" si="16"/>
        <v>7</v>
      </c>
      <c r="AT188">
        <f t="shared" si="17"/>
        <v>7</v>
      </c>
      <c r="AU188">
        <f t="shared" si="18"/>
        <v>7</v>
      </c>
      <c r="AV188">
        <f t="shared" si="19"/>
        <v>7</v>
      </c>
      <c r="AW188">
        <f t="shared" si="20"/>
        <v>7</v>
      </c>
      <c r="AX188">
        <f t="shared" si="21"/>
        <v>7</v>
      </c>
      <c r="AY188">
        <f t="shared" si="22"/>
        <v>7</v>
      </c>
    </row>
    <row r="189" spans="38:51" x14ac:dyDescent="0.25">
      <c r="AL189" s="19" t="s">
        <v>102</v>
      </c>
      <c r="AM189">
        <f t="shared" si="10"/>
        <v>7</v>
      </c>
      <c r="AN189">
        <f t="shared" si="11"/>
        <v>7</v>
      </c>
      <c r="AO189">
        <f t="shared" si="12"/>
        <v>7</v>
      </c>
      <c r="AP189">
        <f t="shared" si="13"/>
        <v>5</v>
      </c>
      <c r="AQ189">
        <f t="shared" si="14"/>
        <v>7</v>
      </c>
      <c r="AR189">
        <f t="shared" si="15"/>
        <v>7</v>
      </c>
      <c r="AS189">
        <f t="shared" si="16"/>
        <v>7</v>
      </c>
      <c r="AT189">
        <f t="shared" si="17"/>
        <v>7</v>
      </c>
      <c r="AU189">
        <f t="shared" si="18"/>
        <v>4</v>
      </c>
      <c r="AV189">
        <f t="shared" si="19"/>
        <v>7</v>
      </c>
      <c r="AW189">
        <f t="shared" si="20"/>
        <v>7</v>
      </c>
      <c r="AX189">
        <f t="shared" si="21"/>
        <v>7</v>
      </c>
      <c r="AY189">
        <f t="shared" si="22"/>
        <v>7</v>
      </c>
    </row>
    <row r="190" spans="38:51" x14ac:dyDescent="0.25">
      <c r="AL190" s="19" t="s">
        <v>103</v>
      </c>
      <c r="AM190">
        <f t="shared" si="10"/>
        <v>1</v>
      </c>
      <c r="AN190">
        <f t="shared" si="11"/>
        <v>2</v>
      </c>
      <c r="AO190">
        <f t="shared" si="12"/>
        <v>6</v>
      </c>
      <c r="AP190">
        <f t="shared" si="13"/>
        <v>2</v>
      </c>
      <c r="AQ190">
        <f t="shared" si="14"/>
        <v>7</v>
      </c>
      <c r="AR190">
        <f t="shared" si="15"/>
        <v>7</v>
      </c>
      <c r="AS190">
        <f t="shared" si="16"/>
        <v>7</v>
      </c>
      <c r="AT190">
        <f t="shared" si="17"/>
        <v>5</v>
      </c>
      <c r="AU190">
        <f t="shared" si="18"/>
        <v>0</v>
      </c>
      <c r="AV190">
        <f t="shared" si="19"/>
        <v>5</v>
      </c>
      <c r="AW190">
        <f t="shared" si="20"/>
        <v>7</v>
      </c>
      <c r="AX190">
        <f t="shared" si="21"/>
        <v>3</v>
      </c>
      <c r="AY190">
        <f t="shared" si="22"/>
        <v>6</v>
      </c>
    </row>
    <row r="191" spans="38:51" x14ac:dyDescent="0.25">
      <c r="AL191" s="19" t="s">
        <v>289</v>
      </c>
      <c r="AM191">
        <f t="shared" si="10"/>
        <v>7</v>
      </c>
      <c r="AN191">
        <f t="shared" si="11"/>
        <v>7</v>
      </c>
      <c r="AO191">
        <f t="shared" si="12"/>
        <v>6</v>
      </c>
      <c r="AP191">
        <f t="shared" si="13"/>
        <v>0</v>
      </c>
      <c r="AQ191">
        <f t="shared" si="14"/>
        <v>6</v>
      </c>
      <c r="AR191">
        <f t="shared" si="15"/>
        <v>7</v>
      </c>
      <c r="AS191">
        <f t="shared" si="16"/>
        <v>7</v>
      </c>
      <c r="AT191">
        <f t="shared" si="17"/>
        <v>7</v>
      </c>
      <c r="AU191">
        <f t="shared" si="18"/>
        <v>7</v>
      </c>
      <c r="AV191">
        <f t="shared" si="19"/>
        <v>7</v>
      </c>
      <c r="AW191">
        <f t="shared" si="20"/>
        <v>7</v>
      </c>
      <c r="AX191">
        <f t="shared" si="21"/>
        <v>7</v>
      </c>
      <c r="AY191">
        <f t="shared" si="22"/>
        <v>7</v>
      </c>
    </row>
    <row r="192" spans="38:51" x14ac:dyDescent="0.25">
      <c r="AL192" s="19" t="s">
        <v>104</v>
      </c>
      <c r="AM192">
        <f t="shared" si="10"/>
        <v>7</v>
      </c>
      <c r="AN192">
        <f t="shared" si="11"/>
        <v>7</v>
      </c>
      <c r="AO192">
        <f t="shared" si="12"/>
        <v>7</v>
      </c>
      <c r="AP192">
        <f t="shared" si="13"/>
        <v>5</v>
      </c>
      <c r="AQ192">
        <f t="shared" si="14"/>
        <v>6</v>
      </c>
      <c r="AR192">
        <f t="shared" si="15"/>
        <v>7</v>
      </c>
      <c r="AS192">
        <f t="shared" si="16"/>
        <v>7</v>
      </c>
      <c r="AT192">
        <f t="shared" si="17"/>
        <v>7</v>
      </c>
      <c r="AU192">
        <f t="shared" si="18"/>
        <v>5</v>
      </c>
      <c r="AV192">
        <f t="shared" si="19"/>
        <v>7</v>
      </c>
      <c r="AW192">
        <f t="shared" si="20"/>
        <v>7</v>
      </c>
      <c r="AX192">
        <f t="shared" si="21"/>
        <v>6</v>
      </c>
      <c r="AY192">
        <f t="shared" si="22"/>
        <v>7</v>
      </c>
    </row>
    <row r="193" spans="38:51" x14ac:dyDescent="0.25">
      <c r="AL193" s="19" t="s">
        <v>105</v>
      </c>
      <c r="AM193">
        <f t="shared" si="10"/>
        <v>7</v>
      </c>
      <c r="AN193">
        <f t="shared" si="11"/>
        <v>7</v>
      </c>
      <c r="AO193">
        <f t="shared" si="12"/>
        <v>7</v>
      </c>
      <c r="AP193">
        <f t="shared" si="13"/>
        <v>7</v>
      </c>
      <c r="AQ193">
        <f t="shared" si="14"/>
        <v>7</v>
      </c>
      <c r="AR193">
        <f t="shared" si="15"/>
        <v>7</v>
      </c>
      <c r="AS193">
        <f t="shared" si="16"/>
        <v>7</v>
      </c>
      <c r="AT193">
        <f t="shared" si="17"/>
        <v>7</v>
      </c>
      <c r="AU193">
        <f t="shared" si="18"/>
        <v>7</v>
      </c>
      <c r="AV193">
        <f t="shared" si="19"/>
        <v>7</v>
      </c>
      <c r="AW193">
        <f t="shared" si="20"/>
        <v>7</v>
      </c>
      <c r="AX193">
        <f t="shared" si="21"/>
        <v>7</v>
      </c>
      <c r="AY193">
        <f t="shared" si="22"/>
        <v>7</v>
      </c>
    </row>
    <row r="194" spans="38:51" x14ac:dyDescent="0.25">
      <c r="AL194" s="19" t="s">
        <v>106</v>
      </c>
      <c r="AM194">
        <f t="shared" si="10"/>
        <v>7</v>
      </c>
      <c r="AN194">
        <f t="shared" si="11"/>
        <v>7</v>
      </c>
      <c r="AO194">
        <f t="shared" si="12"/>
        <v>7</v>
      </c>
      <c r="AP194">
        <f t="shared" si="13"/>
        <v>6</v>
      </c>
      <c r="AQ194">
        <f t="shared" si="14"/>
        <v>7</v>
      </c>
      <c r="AR194">
        <f t="shared" si="15"/>
        <v>7</v>
      </c>
      <c r="AS194">
        <f t="shared" si="16"/>
        <v>7</v>
      </c>
      <c r="AT194">
        <f t="shared" si="17"/>
        <v>7</v>
      </c>
      <c r="AU194">
        <f t="shared" si="18"/>
        <v>7</v>
      </c>
      <c r="AV194">
        <f t="shared" si="19"/>
        <v>7</v>
      </c>
      <c r="AW194">
        <f t="shared" si="20"/>
        <v>7</v>
      </c>
      <c r="AX194">
        <f t="shared" si="21"/>
        <v>7</v>
      </c>
      <c r="AY194">
        <f t="shared" si="22"/>
        <v>7</v>
      </c>
    </row>
    <row r="195" spans="38:51" x14ac:dyDescent="0.25">
      <c r="AL195" s="19" t="s">
        <v>107</v>
      </c>
      <c r="AM195">
        <f t="shared" si="10"/>
        <v>7</v>
      </c>
      <c r="AN195">
        <f t="shared" si="11"/>
        <v>7</v>
      </c>
      <c r="AO195">
        <f t="shared" si="12"/>
        <v>7</v>
      </c>
      <c r="AP195">
        <f t="shared" si="13"/>
        <v>7</v>
      </c>
      <c r="AQ195">
        <f t="shared" si="14"/>
        <v>7</v>
      </c>
      <c r="AR195">
        <f t="shared" si="15"/>
        <v>7</v>
      </c>
      <c r="AS195">
        <f t="shared" si="16"/>
        <v>7</v>
      </c>
      <c r="AT195">
        <f t="shared" si="17"/>
        <v>7</v>
      </c>
      <c r="AU195">
        <f t="shared" si="18"/>
        <v>7</v>
      </c>
      <c r="AV195">
        <f t="shared" si="19"/>
        <v>7</v>
      </c>
      <c r="AW195">
        <f t="shared" si="20"/>
        <v>7</v>
      </c>
      <c r="AX195">
        <f t="shared" si="21"/>
        <v>7</v>
      </c>
      <c r="AY195">
        <f t="shared" si="22"/>
        <v>7</v>
      </c>
    </row>
    <row r="196" spans="38:51" x14ac:dyDescent="0.25">
      <c r="AL196" s="19" t="s">
        <v>108</v>
      </c>
      <c r="AM196">
        <f t="shared" si="10"/>
        <v>7</v>
      </c>
      <c r="AN196">
        <f t="shared" si="11"/>
        <v>7</v>
      </c>
      <c r="AO196">
        <f t="shared" si="12"/>
        <v>7</v>
      </c>
      <c r="AP196">
        <f t="shared" si="13"/>
        <v>7</v>
      </c>
      <c r="AQ196">
        <f t="shared" si="14"/>
        <v>7</v>
      </c>
      <c r="AR196">
        <f t="shared" si="15"/>
        <v>7</v>
      </c>
      <c r="AS196">
        <f t="shared" si="16"/>
        <v>7</v>
      </c>
      <c r="AT196">
        <f t="shared" si="17"/>
        <v>7</v>
      </c>
      <c r="AU196">
        <f t="shared" si="18"/>
        <v>7</v>
      </c>
      <c r="AV196">
        <f t="shared" si="19"/>
        <v>7</v>
      </c>
      <c r="AW196">
        <f t="shared" si="20"/>
        <v>7</v>
      </c>
      <c r="AX196">
        <f t="shared" si="21"/>
        <v>7</v>
      </c>
      <c r="AY196">
        <f t="shared" si="22"/>
        <v>7</v>
      </c>
    </row>
    <row r="197" spans="38:51" x14ac:dyDescent="0.25">
      <c r="AL197" s="19" t="s">
        <v>109</v>
      </c>
      <c r="AM197">
        <f t="shared" si="10"/>
        <v>7</v>
      </c>
      <c r="AN197">
        <f t="shared" si="11"/>
        <v>7</v>
      </c>
      <c r="AO197">
        <f t="shared" si="12"/>
        <v>7</v>
      </c>
      <c r="AP197">
        <f t="shared" si="13"/>
        <v>7</v>
      </c>
      <c r="AQ197">
        <f t="shared" si="14"/>
        <v>7</v>
      </c>
      <c r="AR197">
        <f t="shared" si="15"/>
        <v>7</v>
      </c>
      <c r="AS197">
        <f t="shared" si="16"/>
        <v>7</v>
      </c>
      <c r="AT197">
        <f t="shared" si="17"/>
        <v>7</v>
      </c>
      <c r="AU197">
        <f t="shared" si="18"/>
        <v>7</v>
      </c>
      <c r="AV197">
        <f t="shared" si="19"/>
        <v>7</v>
      </c>
      <c r="AW197">
        <f t="shared" si="20"/>
        <v>7</v>
      </c>
      <c r="AX197">
        <f t="shared" si="21"/>
        <v>7</v>
      </c>
      <c r="AY197">
        <f t="shared" si="22"/>
        <v>7</v>
      </c>
    </row>
    <row r="198" spans="38:51" x14ac:dyDescent="0.25">
      <c r="AL198" s="19" t="s">
        <v>110</v>
      </c>
      <c r="AM198">
        <f t="shared" si="10"/>
        <v>7</v>
      </c>
      <c r="AN198">
        <f t="shared" si="11"/>
        <v>7</v>
      </c>
      <c r="AO198">
        <f t="shared" si="12"/>
        <v>7</v>
      </c>
      <c r="AP198">
        <f t="shared" si="13"/>
        <v>7</v>
      </c>
      <c r="AQ198">
        <f t="shared" si="14"/>
        <v>7</v>
      </c>
      <c r="AR198">
        <f t="shared" si="15"/>
        <v>7</v>
      </c>
      <c r="AS198">
        <f t="shared" si="16"/>
        <v>7</v>
      </c>
      <c r="AT198">
        <f t="shared" si="17"/>
        <v>7</v>
      </c>
      <c r="AU198">
        <f t="shared" si="18"/>
        <v>7</v>
      </c>
      <c r="AV198">
        <f t="shared" si="19"/>
        <v>7</v>
      </c>
      <c r="AW198">
        <f t="shared" si="20"/>
        <v>7</v>
      </c>
      <c r="AX198">
        <f t="shared" si="21"/>
        <v>7</v>
      </c>
      <c r="AY198">
        <f t="shared" si="22"/>
        <v>7</v>
      </c>
    </row>
    <row r="199" spans="38:51" x14ac:dyDescent="0.25">
      <c r="AL199" s="19" t="s">
        <v>111</v>
      </c>
      <c r="AM199">
        <f t="shared" si="10"/>
        <v>7</v>
      </c>
      <c r="AN199">
        <f t="shared" si="11"/>
        <v>7</v>
      </c>
      <c r="AO199">
        <f t="shared" si="12"/>
        <v>7</v>
      </c>
      <c r="AP199">
        <f t="shared" si="13"/>
        <v>5</v>
      </c>
      <c r="AQ199">
        <f t="shared" si="14"/>
        <v>7</v>
      </c>
      <c r="AR199">
        <f t="shared" si="15"/>
        <v>7</v>
      </c>
      <c r="AS199">
        <f t="shared" si="16"/>
        <v>7</v>
      </c>
      <c r="AT199">
        <f t="shared" si="17"/>
        <v>7</v>
      </c>
      <c r="AU199">
        <f t="shared" si="18"/>
        <v>7</v>
      </c>
      <c r="AV199">
        <f t="shared" si="19"/>
        <v>7</v>
      </c>
      <c r="AW199">
        <f t="shared" si="20"/>
        <v>7</v>
      </c>
      <c r="AX199">
        <f t="shared" si="21"/>
        <v>7</v>
      </c>
      <c r="AY199">
        <f t="shared" si="22"/>
        <v>7</v>
      </c>
    </row>
    <row r="200" spans="38:51" x14ac:dyDescent="0.25">
      <c r="AL200" s="19" t="s">
        <v>112</v>
      </c>
      <c r="AM200">
        <f t="shared" si="10"/>
        <v>7</v>
      </c>
      <c r="AN200">
        <f t="shared" si="11"/>
        <v>7</v>
      </c>
      <c r="AO200">
        <f t="shared" si="12"/>
        <v>7</v>
      </c>
      <c r="AP200">
        <f t="shared" si="13"/>
        <v>7</v>
      </c>
      <c r="AQ200">
        <f t="shared" si="14"/>
        <v>7</v>
      </c>
      <c r="AR200">
        <f t="shared" si="15"/>
        <v>7</v>
      </c>
      <c r="AS200">
        <f t="shared" si="16"/>
        <v>7</v>
      </c>
      <c r="AT200">
        <f t="shared" si="17"/>
        <v>7</v>
      </c>
      <c r="AU200">
        <f t="shared" si="18"/>
        <v>6</v>
      </c>
      <c r="AV200">
        <f t="shared" si="19"/>
        <v>7</v>
      </c>
      <c r="AW200">
        <f t="shared" si="20"/>
        <v>7</v>
      </c>
      <c r="AX200">
        <f t="shared" si="21"/>
        <v>6</v>
      </c>
      <c r="AY200">
        <f t="shared" si="22"/>
        <v>7</v>
      </c>
    </row>
    <row r="201" spans="38:51" x14ac:dyDescent="0.25">
      <c r="AL201" s="19" t="s">
        <v>290</v>
      </c>
      <c r="AM201">
        <f t="shared" si="10"/>
        <v>7</v>
      </c>
      <c r="AN201">
        <f t="shared" si="11"/>
        <v>7</v>
      </c>
      <c r="AO201">
        <f t="shared" si="12"/>
        <v>6</v>
      </c>
      <c r="AP201">
        <f t="shared" si="13"/>
        <v>3</v>
      </c>
      <c r="AQ201">
        <f t="shared" si="14"/>
        <v>7</v>
      </c>
      <c r="AR201">
        <f t="shared" si="15"/>
        <v>7</v>
      </c>
      <c r="AS201">
        <f t="shared" si="16"/>
        <v>7</v>
      </c>
      <c r="AT201">
        <f t="shared" si="17"/>
        <v>7</v>
      </c>
      <c r="AU201">
        <f t="shared" si="18"/>
        <v>7</v>
      </c>
      <c r="AV201">
        <f t="shared" si="19"/>
        <v>7</v>
      </c>
      <c r="AW201">
        <f t="shared" si="20"/>
        <v>7</v>
      </c>
      <c r="AX201">
        <f t="shared" si="21"/>
        <v>7</v>
      </c>
      <c r="AY201">
        <f t="shared" si="22"/>
        <v>7</v>
      </c>
    </row>
    <row r="202" spans="38:51" x14ac:dyDescent="0.25">
      <c r="AL202" s="19" t="s">
        <v>235</v>
      </c>
      <c r="AM202">
        <f t="shared" si="10"/>
        <v>7</v>
      </c>
      <c r="AN202">
        <f t="shared" si="11"/>
        <v>7</v>
      </c>
      <c r="AO202">
        <f t="shared" si="12"/>
        <v>7</v>
      </c>
      <c r="AP202">
        <f t="shared" si="13"/>
        <v>7</v>
      </c>
      <c r="AQ202">
        <f t="shared" si="14"/>
        <v>7</v>
      </c>
      <c r="AR202">
        <f t="shared" si="15"/>
        <v>7</v>
      </c>
      <c r="AS202">
        <f t="shared" si="16"/>
        <v>7</v>
      </c>
      <c r="AT202">
        <f t="shared" si="17"/>
        <v>7</v>
      </c>
      <c r="AU202">
        <f t="shared" si="18"/>
        <v>7</v>
      </c>
      <c r="AV202">
        <f t="shared" si="19"/>
        <v>7</v>
      </c>
      <c r="AW202">
        <f t="shared" si="20"/>
        <v>7</v>
      </c>
      <c r="AX202">
        <f t="shared" si="21"/>
        <v>7</v>
      </c>
      <c r="AY202">
        <f t="shared" si="22"/>
        <v>7</v>
      </c>
    </row>
    <row r="203" spans="38:51" x14ac:dyDescent="0.25">
      <c r="AL203" s="19" t="s">
        <v>113</v>
      </c>
      <c r="AM203">
        <f t="shared" si="10"/>
        <v>7</v>
      </c>
      <c r="AN203">
        <f t="shared" si="11"/>
        <v>7</v>
      </c>
      <c r="AO203">
        <f t="shared" si="12"/>
        <v>7</v>
      </c>
      <c r="AP203">
        <f t="shared" si="13"/>
        <v>7</v>
      </c>
      <c r="AQ203">
        <f t="shared" si="14"/>
        <v>7</v>
      </c>
      <c r="AR203">
        <f t="shared" si="15"/>
        <v>7</v>
      </c>
      <c r="AS203">
        <f t="shared" si="16"/>
        <v>7</v>
      </c>
      <c r="AT203">
        <f t="shared" si="17"/>
        <v>7</v>
      </c>
      <c r="AU203">
        <f t="shared" si="18"/>
        <v>7</v>
      </c>
      <c r="AV203">
        <f t="shared" si="19"/>
        <v>7</v>
      </c>
      <c r="AW203">
        <f t="shared" si="20"/>
        <v>7</v>
      </c>
      <c r="AX203">
        <f t="shared" si="21"/>
        <v>7</v>
      </c>
      <c r="AY203">
        <f t="shared" si="22"/>
        <v>7</v>
      </c>
    </row>
    <row r="204" spans="38:51" x14ac:dyDescent="0.25">
      <c r="AL204" s="19" t="s">
        <v>114</v>
      </c>
      <c r="AM204">
        <f t="shared" si="10"/>
        <v>7</v>
      </c>
      <c r="AN204">
        <f t="shared" si="11"/>
        <v>7</v>
      </c>
      <c r="AO204">
        <f t="shared" si="12"/>
        <v>7</v>
      </c>
      <c r="AP204">
        <f t="shared" si="13"/>
        <v>7</v>
      </c>
      <c r="AQ204">
        <f t="shared" si="14"/>
        <v>7</v>
      </c>
      <c r="AR204">
        <f t="shared" si="15"/>
        <v>7</v>
      </c>
      <c r="AS204">
        <f t="shared" si="16"/>
        <v>7</v>
      </c>
      <c r="AT204">
        <f t="shared" si="17"/>
        <v>7</v>
      </c>
      <c r="AU204">
        <f t="shared" si="18"/>
        <v>7</v>
      </c>
      <c r="AV204">
        <f t="shared" si="19"/>
        <v>7</v>
      </c>
      <c r="AW204">
        <f t="shared" si="20"/>
        <v>7</v>
      </c>
      <c r="AX204">
        <f t="shared" si="21"/>
        <v>7</v>
      </c>
      <c r="AY204">
        <f t="shared" si="22"/>
        <v>7</v>
      </c>
    </row>
    <row r="205" spans="38:51" x14ac:dyDescent="0.25">
      <c r="AL205" s="19" t="s">
        <v>115</v>
      </c>
      <c r="AM205">
        <f t="shared" si="10"/>
        <v>7</v>
      </c>
      <c r="AN205">
        <f t="shared" si="11"/>
        <v>7</v>
      </c>
      <c r="AO205">
        <f t="shared" si="12"/>
        <v>7</v>
      </c>
      <c r="AP205">
        <f t="shared" si="13"/>
        <v>4</v>
      </c>
      <c r="AQ205">
        <f t="shared" si="14"/>
        <v>7</v>
      </c>
      <c r="AR205">
        <f t="shared" si="15"/>
        <v>7</v>
      </c>
      <c r="AS205">
        <f t="shared" si="16"/>
        <v>7</v>
      </c>
      <c r="AT205">
        <f t="shared" si="17"/>
        <v>7</v>
      </c>
      <c r="AU205">
        <f t="shared" si="18"/>
        <v>7</v>
      </c>
      <c r="AV205">
        <f t="shared" si="19"/>
        <v>7</v>
      </c>
      <c r="AW205">
        <f t="shared" si="20"/>
        <v>7</v>
      </c>
      <c r="AX205">
        <f t="shared" si="21"/>
        <v>7</v>
      </c>
      <c r="AY205">
        <f t="shared" si="22"/>
        <v>7</v>
      </c>
    </row>
    <row r="206" spans="38:51" x14ac:dyDescent="0.25">
      <c r="AL206" s="19" t="s">
        <v>116</v>
      </c>
      <c r="AM206">
        <f t="shared" si="10"/>
        <v>7</v>
      </c>
      <c r="AN206">
        <f t="shared" si="11"/>
        <v>7</v>
      </c>
      <c r="AO206">
        <f t="shared" si="12"/>
        <v>7</v>
      </c>
      <c r="AP206">
        <f t="shared" si="13"/>
        <v>7</v>
      </c>
      <c r="AQ206">
        <f t="shared" si="14"/>
        <v>7</v>
      </c>
      <c r="AR206">
        <f t="shared" si="15"/>
        <v>7</v>
      </c>
      <c r="AS206">
        <f t="shared" si="16"/>
        <v>7</v>
      </c>
      <c r="AT206">
        <f t="shared" si="17"/>
        <v>7</v>
      </c>
      <c r="AU206">
        <f t="shared" si="18"/>
        <v>7</v>
      </c>
      <c r="AV206">
        <f t="shared" si="19"/>
        <v>7</v>
      </c>
      <c r="AW206">
        <f t="shared" si="20"/>
        <v>7</v>
      </c>
      <c r="AX206">
        <f t="shared" si="21"/>
        <v>7</v>
      </c>
      <c r="AY206">
        <f t="shared" si="22"/>
        <v>7</v>
      </c>
    </row>
    <row r="207" spans="38:51" x14ac:dyDescent="0.25">
      <c r="AL207" s="19" t="s">
        <v>117</v>
      </c>
      <c r="AM207">
        <f t="shared" si="10"/>
        <v>7</v>
      </c>
      <c r="AN207">
        <f t="shared" si="11"/>
        <v>7</v>
      </c>
      <c r="AO207">
        <f t="shared" si="12"/>
        <v>7</v>
      </c>
      <c r="AP207">
        <f t="shared" si="13"/>
        <v>5</v>
      </c>
      <c r="AQ207">
        <f t="shared" si="14"/>
        <v>7</v>
      </c>
      <c r="AR207">
        <f t="shared" si="15"/>
        <v>7</v>
      </c>
      <c r="AS207">
        <f t="shared" si="16"/>
        <v>7</v>
      </c>
      <c r="AT207">
        <f t="shared" si="17"/>
        <v>7</v>
      </c>
      <c r="AU207">
        <f t="shared" si="18"/>
        <v>4</v>
      </c>
      <c r="AV207">
        <f t="shared" si="19"/>
        <v>7</v>
      </c>
      <c r="AW207">
        <f t="shared" si="20"/>
        <v>7</v>
      </c>
      <c r="AX207">
        <f t="shared" si="21"/>
        <v>7</v>
      </c>
      <c r="AY207">
        <f t="shared" si="22"/>
        <v>7</v>
      </c>
    </row>
    <row r="208" spans="38:51" x14ac:dyDescent="0.25">
      <c r="AL208" s="19" t="s">
        <v>118</v>
      </c>
      <c r="AM208">
        <f t="shared" si="10"/>
        <v>7</v>
      </c>
      <c r="AN208">
        <f t="shared" si="11"/>
        <v>7</v>
      </c>
      <c r="AO208">
        <f t="shared" si="12"/>
        <v>7</v>
      </c>
      <c r="AP208">
        <f t="shared" si="13"/>
        <v>7</v>
      </c>
      <c r="AQ208">
        <f t="shared" si="14"/>
        <v>7</v>
      </c>
      <c r="AR208">
        <f t="shared" si="15"/>
        <v>7</v>
      </c>
      <c r="AS208">
        <f t="shared" si="16"/>
        <v>7</v>
      </c>
      <c r="AT208">
        <f t="shared" si="17"/>
        <v>7</v>
      </c>
      <c r="AU208">
        <f t="shared" si="18"/>
        <v>7</v>
      </c>
      <c r="AV208">
        <f t="shared" si="19"/>
        <v>7</v>
      </c>
      <c r="AW208">
        <f t="shared" si="20"/>
        <v>7</v>
      </c>
      <c r="AX208">
        <f t="shared" si="21"/>
        <v>7</v>
      </c>
      <c r="AY208">
        <f t="shared" si="22"/>
        <v>7</v>
      </c>
    </row>
    <row r="209" spans="38:51" x14ac:dyDescent="0.25">
      <c r="AL209" s="19" t="s">
        <v>119</v>
      </c>
      <c r="AM209">
        <f t="shared" si="10"/>
        <v>7</v>
      </c>
      <c r="AN209">
        <f t="shared" si="11"/>
        <v>7</v>
      </c>
      <c r="AO209">
        <f t="shared" si="12"/>
        <v>7</v>
      </c>
      <c r="AP209">
        <f t="shared" si="13"/>
        <v>7</v>
      </c>
      <c r="AQ209">
        <f t="shared" si="14"/>
        <v>7</v>
      </c>
      <c r="AR209">
        <f t="shared" si="15"/>
        <v>7</v>
      </c>
      <c r="AS209">
        <f t="shared" si="16"/>
        <v>7</v>
      </c>
      <c r="AT209">
        <f t="shared" si="17"/>
        <v>7</v>
      </c>
      <c r="AU209">
        <f t="shared" si="18"/>
        <v>7</v>
      </c>
      <c r="AV209">
        <f t="shared" si="19"/>
        <v>7</v>
      </c>
      <c r="AW209">
        <f t="shared" si="20"/>
        <v>7</v>
      </c>
      <c r="AX209">
        <f t="shared" si="21"/>
        <v>7</v>
      </c>
      <c r="AY209">
        <f t="shared" si="22"/>
        <v>7</v>
      </c>
    </row>
    <row r="210" spans="38:51" x14ac:dyDescent="0.25">
      <c r="AL210" s="19" t="s">
        <v>120</v>
      </c>
      <c r="AM210">
        <f t="shared" si="10"/>
        <v>7</v>
      </c>
      <c r="AN210">
        <f t="shared" si="11"/>
        <v>7</v>
      </c>
      <c r="AO210">
        <f t="shared" si="12"/>
        <v>7</v>
      </c>
      <c r="AP210">
        <f t="shared" si="13"/>
        <v>6</v>
      </c>
      <c r="AQ210">
        <f t="shared" si="14"/>
        <v>7</v>
      </c>
      <c r="AR210">
        <f t="shared" si="15"/>
        <v>7</v>
      </c>
      <c r="AS210">
        <f t="shared" si="16"/>
        <v>7</v>
      </c>
      <c r="AT210">
        <f t="shared" si="17"/>
        <v>7</v>
      </c>
      <c r="AU210">
        <f t="shared" si="18"/>
        <v>7</v>
      </c>
      <c r="AV210">
        <f t="shared" si="19"/>
        <v>7</v>
      </c>
      <c r="AW210">
        <f t="shared" si="20"/>
        <v>7</v>
      </c>
      <c r="AX210">
        <f t="shared" si="21"/>
        <v>7</v>
      </c>
      <c r="AY210">
        <f t="shared" si="22"/>
        <v>7</v>
      </c>
    </row>
    <row r="211" spans="38:51" x14ac:dyDescent="0.25">
      <c r="AL211" s="19" t="s">
        <v>121</v>
      </c>
      <c r="AM211">
        <f t="shared" si="10"/>
        <v>7</v>
      </c>
      <c r="AN211">
        <f t="shared" si="11"/>
        <v>7</v>
      </c>
      <c r="AO211">
        <f t="shared" si="12"/>
        <v>7</v>
      </c>
      <c r="AP211">
        <f t="shared" si="13"/>
        <v>5</v>
      </c>
      <c r="AQ211">
        <f t="shared" si="14"/>
        <v>7</v>
      </c>
      <c r="AR211">
        <f t="shared" si="15"/>
        <v>7</v>
      </c>
      <c r="AS211">
        <f t="shared" si="16"/>
        <v>7</v>
      </c>
      <c r="AT211">
        <f t="shared" si="17"/>
        <v>7</v>
      </c>
      <c r="AU211">
        <f t="shared" si="18"/>
        <v>7</v>
      </c>
      <c r="AV211">
        <f t="shared" si="19"/>
        <v>7</v>
      </c>
      <c r="AW211">
        <f t="shared" si="20"/>
        <v>7</v>
      </c>
      <c r="AX211">
        <f t="shared" si="21"/>
        <v>7</v>
      </c>
      <c r="AY211">
        <f t="shared" si="22"/>
        <v>7</v>
      </c>
    </row>
    <row r="212" spans="38:51" x14ac:dyDescent="0.25">
      <c r="AL212" s="19" t="s">
        <v>122</v>
      </c>
      <c r="AM212">
        <f t="shared" si="10"/>
        <v>7</v>
      </c>
      <c r="AN212">
        <f t="shared" si="11"/>
        <v>7</v>
      </c>
      <c r="AO212">
        <f t="shared" si="12"/>
        <v>7</v>
      </c>
      <c r="AP212">
        <f t="shared" si="13"/>
        <v>7</v>
      </c>
      <c r="AQ212">
        <f t="shared" si="14"/>
        <v>7</v>
      </c>
      <c r="AR212">
        <f t="shared" si="15"/>
        <v>7</v>
      </c>
      <c r="AS212">
        <f t="shared" si="16"/>
        <v>7</v>
      </c>
      <c r="AT212">
        <f t="shared" si="17"/>
        <v>7</v>
      </c>
      <c r="AU212">
        <f t="shared" si="18"/>
        <v>7</v>
      </c>
      <c r="AV212">
        <f t="shared" si="19"/>
        <v>7</v>
      </c>
      <c r="AW212">
        <f t="shared" si="20"/>
        <v>7</v>
      </c>
      <c r="AX212">
        <f t="shared" si="21"/>
        <v>7</v>
      </c>
      <c r="AY212">
        <f t="shared" si="22"/>
        <v>7</v>
      </c>
    </row>
    <row r="213" spans="38:51" x14ac:dyDescent="0.25">
      <c r="AL213" s="19" t="s">
        <v>327</v>
      </c>
      <c r="AM213">
        <f t="shared" si="10"/>
        <v>7</v>
      </c>
      <c r="AN213">
        <f t="shared" si="11"/>
        <v>7</v>
      </c>
      <c r="AO213">
        <f t="shared" si="12"/>
        <v>7</v>
      </c>
      <c r="AP213">
        <f t="shared" si="13"/>
        <v>7</v>
      </c>
      <c r="AQ213">
        <f t="shared" si="14"/>
        <v>7</v>
      </c>
      <c r="AR213">
        <f t="shared" si="15"/>
        <v>7</v>
      </c>
      <c r="AS213">
        <f t="shared" si="16"/>
        <v>7</v>
      </c>
      <c r="AT213">
        <f t="shared" si="17"/>
        <v>7</v>
      </c>
      <c r="AU213">
        <f t="shared" si="18"/>
        <v>7</v>
      </c>
      <c r="AV213">
        <f t="shared" si="19"/>
        <v>7</v>
      </c>
      <c r="AW213">
        <f t="shared" si="20"/>
        <v>7</v>
      </c>
      <c r="AX213">
        <f t="shared" si="21"/>
        <v>7</v>
      </c>
      <c r="AY213">
        <f t="shared" si="22"/>
        <v>7</v>
      </c>
    </row>
    <row r="214" spans="38:51" x14ac:dyDescent="0.25">
      <c r="AL214" s="19" t="s">
        <v>123</v>
      </c>
      <c r="AM214">
        <f t="shared" si="10"/>
        <v>7</v>
      </c>
      <c r="AN214">
        <f t="shared" si="11"/>
        <v>7</v>
      </c>
      <c r="AO214">
        <f t="shared" si="12"/>
        <v>7</v>
      </c>
      <c r="AP214">
        <f t="shared" si="13"/>
        <v>7</v>
      </c>
      <c r="AQ214">
        <f t="shared" si="14"/>
        <v>7</v>
      </c>
      <c r="AR214">
        <f t="shared" si="15"/>
        <v>7</v>
      </c>
      <c r="AS214">
        <f t="shared" si="16"/>
        <v>7</v>
      </c>
      <c r="AT214">
        <f t="shared" si="17"/>
        <v>7</v>
      </c>
      <c r="AU214">
        <f t="shared" si="18"/>
        <v>7</v>
      </c>
      <c r="AV214">
        <f t="shared" si="19"/>
        <v>7</v>
      </c>
      <c r="AW214">
        <f t="shared" si="20"/>
        <v>7</v>
      </c>
      <c r="AX214">
        <f t="shared" si="21"/>
        <v>7</v>
      </c>
      <c r="AY214">
        <f t="shared" si="22"/>
        <v>7</v>
      </c>
    </row>
    <row r="215" spans="38:51" x14ac:dyDescent="0.25">
      <c r="AL215" s="19" t="s">
        <v>124</v>
      </c>
      <c r="AM215">
        <f t="shared" si="10"/>
        <v>7</v>
      </c>
      <c r="AN215">
        <f t="shared" si="11"/>
        <v>7</v>
      </c>
      <c r="AO215">
        <f t="shared" si="12"/>
        <v>7</v>
      </c>
      <c r="AP215">
        <f t="shared" si="13"/>
        <v>4</v>
      </c>
      <c r="AQ215">
        <f t="shared" si="14"/>
        <v>7</v>
      </c>
      <c r="AR215">
        <f t="shared" si="15"/>
        <v>7</v>
      </c>
      <c r="AS215">
        <f t="shared" si="16"/>
        <v>7</v>
      </c>
      <c r="AT215">
        <f t="shared" si="17"/>
        <v>6</v>
      </c>
      <c r="AU215">
        <f t="shared" si="18"/>
        <v>4</v>
      </c>
      <c r="AV215">
        <f t="shared" si="19"/>
        <v>7</v>
      </c>
      <c r="AW215">
        <f t="shared" si="20"/>
        <v>7</v>
      </c>
      <c r="AX215">
        <f t="shared" si="21"/>
        <v>7</v>
      </c>
      <c r="AY215">
        <f t="shared" si="22"/>
        <v>7</v>
      </c>
    </row>
    <row r="216" spans="38:51" x14ac:dyDescent="0.25">
      <c r="AL216" s="19" t="s">
        <v>125</v>
      </c>
      <c r="AM216">
        <f t="shared" ref="AM216:AM279" si="23">COUNTIF($AM73:$AS73,"&gt;=85%")</f>
        <v>7</v>
      </c>
      <c r="AN216">
        <f t="shared" ref="AN216:AN279" si="24">COUNTIF($AU73:$BA73,"&gt;=85%")</f>
        <v>7</v>
      </c>
      <c r="AO216">
        <f t="shared" ref="AO216:AO279" si="25">COUNTIF($BC73:$BI73,"&gt;=85%")</f>
        <v>7</v>
      </c>
      <c r="AP216">
        <f t="shared" ref="AP216:AP279" si="26">COUNTIF($BK73:$BQ73,"&gt;=85%")</f>
        <v>5</v>
      </c>
      <c r="AQ216">
        <f t="shared" ref="AQ216:AQ279" si="27">COUNTIF($BS73:$BY73,"&gt;=85%")</f>
        <v>7</v>
      </c>
      <c r="AR216">
        <f t="shared" ref="AR216:AR279" si="28">COUNTIF($CA73:$CG73,"&gt;=85%")</f>
        <v>7</v>
      </c>
      <c r="AS216">
        <f t="shared" ref="AS216:AS279" si="29">COUNTIF($CI73:$CO73,"&gt;=85%")</f>
        <v>7</v>
      </c>
      <c r="AT216">
        <f t="shared" ref="AT216:AT279" si="30">COUNTIF($CQ73:$CW73,"&gt;=85%")</f>
        <v>7</v>
      </c>
      <c r="AU216">
        <f t="shared" ref="AU216:AU279" si="31">COUNTIF($CY73:$DE73,"&gt;=92%")</f>
        <v>7</v>
      </c>
      <c r="AV216">
        <f t="shared" ref="AV216:AV279" si="32">COUNTIF($DG73:$DM73,"&gt;=85%")</f>
        <v>7</v>
      </c>
      <c r="AW216">
        <f t="shared" ref="AW216:AW279" si="33">COUNTIF($DO73:$DU73,"&gt;=85%")</f>
        <v>7</v>
      </c>
      <c r="AX216">
        <f t="shared" ref="AX216:AX279" si="34">COUNTIF($DW73:$EC73,"&gt;=85%")</f>
        <v>7</v>
      </c>
      <c r="AY216">
        <f t="shared" ref="AY216:AY279" si="35">COUNTIF($EE73:$EK73,"&gt;=85%")</f>
        <v>7</v>
      </c>
    </row>
    <row r="217" spans="38:51" x14ac:dyDescent="0.25">
      <c r="AL217" s="19" t="s">
        <v>126</v>
      </c>
      <c r="AM217">
        <f t="shared" si="23"/>
        <v>7</v>
      </c>
      <c r="AN217">
        <f t="shared" si="24"/>
        <v>7</v>
      </c>
      <c r="AO217">
        <f t="shared" si="25"/>
        <v>7</v>
      </c>
      <c r="AP217">
        <f t="shared" si="26"/>
        <v>7</v>
      </c>
      <c r="AQ217">
        <f t="shared" si="27"/>
        <v>7</v>
      </c>
      <c r="AR217">
        <f t="shared" si="28"/>
        <v>7</v>
      </c>
      <c r="AS217">
        <f t="shared" si="29"/>
        <v>7</v>
      </c>
      <c r="AT217">
        <f t="shared" si="30"/>
        <v>7</v>
      </c>
      <c r="AU217">
        <f t="shared" si="31"/>
        <v>7</v>
      </c>
      <c r="AV217">
        <f t="shared" si="32"/>
        <v>7</v>
      </c>
      <c r="AW217">
        <f t="shared" si="33"/>
        <v>7</v>
      </c>
      <c r="AX217">
        <f t="shared" si="34"/>
        <v>7</v>
      </c>
      <c r="AY217">
        <f t="shared" si="35"/>
        <v>7</v>
      </c>
    </row>
    <row r="218" spans="38:51" x14ac:dyDescent="0.25">
      <c r="AL218" s="19" t="s">
        <v>127</v>
      </c>
      <c r="AM218">
        <f t="shared" si="23"/>
        <v>3</v>
      </c>
      <c r="AN218">
        <f t="shared" si="24"/>
        <v>5</v>
      </c>
      <c r="AO218">
        <f t="shared" si="25"/>
        <v>4</v>
      </c>
      <c r="AP218">
        <f t="shared" si="26"/>
        <v>1</v>
      </c>
      <c r="AQ218">
        <f t="shared" si="27"/>
        <v>4</v>
      </c>
      <c r="AR218">
        <f t="shared" si="28"/>
        <v>6</v>
      </c>
      <c r="AS218">
        <f t="shared" si="29"/>
        <v>7</v>
      </c>
      <c r="AT218">
        <f t="shared" si="30"/>
        <v>5</v>
      </c>
      <c r="AU218">
        <f t="shared" si="31"/>
        <v>0</v>
      </c>
      <c r="AV218">
        <f t="shared" si="32"/>
        <v>5</v>
      </c>
      <c r="AW218">
        <f t="shared" si="33"/>
        <v>7</v>
      </c>
      <c r="AX218">
        <f t="shared" si="34"/>
        <v>7</v>
      </c>
      <c r="AY218">
        <f t="shared" si="35"/>
        <v>7</v>
      </c>
    </row>
    <row r="219" spans="38:51" x14ac:dyDescent="0.25">
      <c r="AL219" s="19" t="s">
        <v>128</v>
      </c>
      <c r="AM219">
        <f t="shared" si="23"/>
        <v>7</v>
      </c>
      <c r="AN219">
        <f t="shared" si="24"/>
        <v>7</v>
      </c>
      <c r="AO219">
        <f t="shared" si="25"/>
        <v>7</v>
      </c>
      <c r="AP219">
        <f t="shared" si="26"/>
        <v>5</v>
      </c>
      <c r="AQ219">
        <f t="shared" si="27"/>
        <v>7</v>
      </c>
      <c r="AR219">
        <f t="shared" si="28"/>
        <v>7</v>
      </c>
      <c r="AS219">
        <f t="shared" si="29"/>
        <v>7</v>
      </c>
      <c r="AT219">
        <f t="shared" si="30"/>
        <v>7</v>
      </c>
      <c r="AU219">
        <f t="shared" si="31"/>
        <v>5</v>
      </c>
      <c r="AV219">
        <f t="shared" si="32"/>
        <v>7</v>
      </c>
      <c r="AW219">
        <f t="shared" si="33"/>
        <v>7</v>
      </c>
      <c r="AX219">
        <f t="shared" si="34"/>
        <v>7</v>
      </c>
      <c r="AY219">
        <f t="shared" si="35"/>
        <v>7</v>
      </c>
    </row>
    <row r="220" spans="38:51" x14ac:dyDescent="0.25">
      <c r="AL220" s="19" t="s">
        <v>129</v>
      </c>
      <c r="AM220">
        <f t="shared" si="23"/>
        <v>7</v>
      </c>
      <c r="AN220">
        <f t="shared" si="24"/>
        <v>7</v>
      </c>
      <c r="AO220">
        <f t="shared" si="25"/>
        <v>7</v>
      </c>
      <c r="AP220">
        <f t="shared" si="26"/>
        <v>4</v>
      </c>
      <c r="AQ220">
        <f t="shared" si="27"/>
        <v>7</v>
      </c>
      <c r="AR220">
        <f t="shared" si="28"/>
        <v>7</v>
      </c>
      <c r="AS220">
        <f t="shared" si="29"/>
        <v>7</v>
      </c>
      <c r="AT220">
        <f t="shared" si="30"/>
        <v>7</v>
      </c>
      <c r="AU220">
        <f t="shared" si="31"/>
        <v>2</v>
      </c>
      <c r="AV220">
        <f t="shared" si="32"/>
        <v>7</v>
      </c>
      <c r="AW220">
        <f t="shared" si="33"/>
        <v>7</v>
      </c>
      <c r="AX220">
        <f t="shared" si="34"/>
        <v>7</v>
      </c>
      <c r="AY220">
        <f t="shared" si="35"/>
        <v>7</v>
      </c>
    </row>
    <row r="221" spans="38:51" x14ac:dyDescent="0.25">
      <c r="AL221" s="19" t="s">
        <v>130</v>
      </c>
      <c r="AM221">
        <f t="shared" si="23"/>
        <v>7</v>
      </c>
      <c r="AN221">
        <f t="shared" si="24"/>
        <v>7</v>
      </c>
      <c r="AO221">
        <f t="shared" si="25"/>
        <v>7</v>
      </c>
      <c r="AP221">
        <f t="shared" si="26"/>
        <v>5</v>
      </c>
      <c r="AQ221">
        <f t="shared" si="27"/>
        <v>7</v>
      </c>
      <c r="AR221">
        <f t="shared" si="28"/>
        <v>7</v>
      </c>
      <c r="AS221">
        <f t="shared" si="29"/>
        <v>7</v>
      </c>
      <c r="AT221">
        <f t="shared" si="30"/>
        <v>7</v>
      </c>
      <c r="AU221">
        <f t="shared" si="31"/>
        <v>7</v>
      </c>
      <c r="AV221">
        <f t="shared" si="32"/>
        <v>7</v>
      </c>
      <c r="AW221">
        <f t="shared" si="33"/>
        <v>7</v>
      </c>
      <c r="AX221">
        <f t="shared" si="34"/>
        <v>7</v>
      </c>
      <c r="AY221">
        <f t="shared" si="35"/>
        <v>7</v>
      </c>
    </row>
    <row r="222" spans="38:51" x14ac:dyDescent="0.25">
      <c r="AL222" s="19" t="s">
        <v>131</v>
      </c>
      <c r="AM222">
        <f t="shared" si="23"/>
        <v>7</v>
      </c>
      <c r="AN222">
        <f t="shared" si="24"/>
        <v>7</v>
      </c>
      <c r="AO222">
        <f t="shared" si="25"/>
        <v>7</v>
      </c>
      <c r="AP222">
        <f t="shared" si="26"/>
        <v>5</v>
      </c>
      <c r="AQ222">
        <f t="shared" si="27"/>
        <v>7</v>
      </c>
      <c r="AR222">
        <f t="shared" si="28"/>
        <v>7</v>
      </c>
      <c r="AS222">
        <f t="shared" si="29"/>
        <v>7</v>
      </c>
      <c r="AT222">
        <f t="shared" si="30"/>
        <v>7</v>
      </c>
      <c r="AU222">
        <f t="shared" si="31"/>
        <v>7</v>
      </c>
      <c r="AV222">
        <f t="shared" si="32"/>
        <v>7</v>
      </c>
      <c r="AW222">
        <f t="shared" si="33"/>
        <v>7</v>
      </c>
      <c r="AX222">
        <f t="shared" si="34"/>
        <v>7</v>
      </c>
      <c r="AY222">
        <f t="shared" si="35"/>
        <v>7</v>
      </c>
    </row>
    <row r="223" spans="38:51" x14ac:dyDescent="0.25">
      <c r="AL223" s="19" t="s">
        <v>132</v>
      </c>
      <c r="AM223">
        <f t="shared" si="23"/>
        <v>7</v>
      </c>
      <c r="AN223">
        <f t="shared" si="24"/>
        <v>7</v>
      </c>
      <c r="AO223">
        <f t="shared" si="25"/>
        <v>7</v>
      </c>
      <c r="AP223">
        <f t="shared" si="26"/>
        <v>5</v>
      </c>
      <c r="AQ223">
        <f t="shared" si="27"/>
        <v>7</v>
      </c>
      <c r="AR223">
        <f t="shared" si="28"/>
        <v>7</v>
      </c>
      <c r="AS223">
        <f t="shared" si="29"/>
        <v>5</v>
      </c>
      <c r="AT223">
        <f t="shared" si="30"/>
        <v>6</v>
      </c>
      <c r="AU223">
        <f t="shared" si="31"/>
        <v>1</v>
      </c>
      <c r="AV223">
        <f t="shared" si="32"/>
        <v>5</v>
      </c>
      <c r="AW223">
        <f t="shared" si="33"/>
        <v>7</v>
      </c>
      <c r="AX223">
        <f t="shared" si="34"/>
        <v>7</v>
      </c>
      <c r="AY223">
        <f t="shared" si="35"/>
        <v>7</v>
      </c>
    </row>
    <row r="224" spans="38:51" x14ac:dyDescent="0.25">
      <c r="AL224" s="19" t="s">
        <v>133</v>
      </c>
      <c r="AM224">
        <f t="shared" si="23"/>
        <v>7</v>
      </c>
      <c r="AN224">
        <f t="shared" si="24"/>
        <v>7</v>
      </c>
      <c r="AO224">
        <f t="shared" si="25"/>
        <v>7</v>
      </c>
      <c r="AP224">
        <f t="shared" si="26"/>
        <v>6</v>
      </c>
      <c r="AQ224">
        <f t="shared" si="27"/>
        <v>7</v>
      </c>
      <c r="AR224">
        <f t="shared" si="28"/>
        <v>7</v>
      </c>
      <c r="AS224">
        <f t="shared" si="29"/>
        <v>7</v>
      </c>
      <c r="AT224">
        <f t="shared" si="30"/>
        <v>7</v>
      </c>
      <c r="AU224">
        <f t="shared" si="31"/>
        <v>7</v>
      </c>
      <c r="AV224">
        <f t="shared" si="32"/>
        <v>7</v>
      </c>
      <c r="AW224">
        <f t="shared" si="33"/>
        <v>7</v>
      </c>
      <c r="AX224">
        <f t="shared" si="34"/>
        <v>7</v>
      </c>
      <c r="AY224">
        <f t="shared" si="35"/>
        <v>7</v>
      </c>
    </row>
    <row r="225" spans="38:51" x14ac:dyDescent="0.25">
      <c r="AL225" s="19" t="s">
        <v>134</v>
      </c>
      <c r="AM225">
        <f t="shared" si="23"/>
        <v>7</v>
      </c>
      <c r="AN225">
        <f t="shared" si="24"/>
        <v>7</v>
      </c>
      <c r="AO225">
        <f t="shared" si="25"/>
        <v>7</v>
      </c>
      <c r="AP225">
        <f t="shared" si="26"/>
        <v>6</v>
      </c>
      <c r="AQ225">
        <f t="shared" si="27"/>
        <v>7</v>
      </c>
      <c r="AR225">
        <f t="shared" si="28"/>
        <v>7</v>
      </c>
      <c r="AS225">
        <f t="shared" si="29"/>
        <v>7</v>
      </c>
      <c r="AT225">
        <f t="shared" si="30"/>
        <v>7</v>
      </c>
      <c r="AU225">
        <f t="shared" si="31"/>
        <v>7</v>
      </c>
      <c r="AV225">
        <f t="shared" si="32"/>
        <v>7</v>
      </c>
      <c r="AW225">
        <f t="shared" si="33"/>
        <v>7</v>
      </c>
      <c r="AX225">
        <f t="shared" si="34"/>
        <v>7</v>
      </c>
      <c r="AY225">
        <f t="shared" si="35"/>
        <v>7</v>
      </c>
    </row>
    <row r="226" spans="38:51" x14ac:dyDescent="0.25">
      <c r="AL226" s="19" t="s">
        <v>135</v>
      </c>
      <c r="AM226">
        <f t="shared" si="23"/>
        <v>7</v>
      </c>
      <c r="AN226">
        <f t="shared" si="24"/>
        <v>7</v>
      </c>
      <c r="AO226">
        <f t="shared" si="25"/>
        <v>7</v>
      </c>
      <c r="AP226">
        <f t="shared" si="26"/>
        <v>7</v>
      </c>
      <c r="AQ226">
        <f t="shared" si="27"/>
        <v>7</v>
      </c>
      <c r="AR226">
        <f t="shared" si="28"/>
        <v>7</v>
      </c>
      <c r="AS226">
        <f t="shared" si="29"/>
        <v>7</v>
      </c>
      <c r="AT226">
        <f t="shared" si="30"/>
        <v>7</v>
      </c>
      <c r="AU226">
        <f t="shared" si="31"/>
        <v>7</v>
      </c>
      <c r="AV226">
        <f t="shared" si="32"/>
        <v>7</v>
      </c>
      <c r="AW226">
        <f t="shared" si="33"/>
        <v>7</v>
      </c>
      <c r="AX226">
        <f t="shared" si="34"/>
        <v>7</v>
      </c>
      <c r="AY226">
        <f t="shared" si="35"/>
        <v>7</v>
      </c>
    </row>
    <row r="227" spans="38:51" x14ac:dyDescent="0.25">
      <c r="AL227" s="19" t="s">
        <v>136</v>
      </c>
      <c r="AM227">
        <f t="shared" si="23"/>
        <v>7</v>
      </c>
      <c r="AN227">
        <f t="shared" si="24"/>
        <v>6</v>
      </c>
      <c r="AO227">
        <f t="shared" si="25"/>
        <v>7</v>
      </c>
      <c r="AP227">
        <f t="shared" si="26"/>
        <v>5</v>
      </c>
      <c r="AQ227">
        <f t="shared" si="27"/>
        <v>6</v>
      </c>
      <c r="AR227">
        <f t="shared" si="28"/>
        <v>5</v>
      </c>
      <c r="AS227">
        <f t="shared" si="29"/>
        <v>6</v>
      </c>
      <c r="AT227">
        <f t="shared" si="30"/>
        <v>7</v>
      </c>
      <c r="AU227">
        <f t="shared" si="31"/>
        <v>2</v>
      </c>
      <c r="AV227">
        <f t="shared" si="32"/>
        <v>7</v>
      </c>
      <c r="AW227">
        <f t="shared" si="33"/>
        <v>5</v>
      </c>
      <c r="AX227">
        <f t="shared" si="34"/>
        <v>6</v>
      </c>
      <c r="AY227">
        <f t="shared" si="35"/>
        <v>5</v>
      </c>
    </row>
    <row r="228" spans="38:51" x14ac:dyDescent="0.25">
      <c r="AL228" s="19" t="s">
        <v>137</v>
      </c>
      <c r="AM228">
        <f t="shared" si="23"/>
        <v>7</v>
      </c>
      <c r="AN228">
        <f t="shared" si="24"/>
        <v>7</v>
      </c>
      <c r="AO228">
        <f t="shared" si="25"/>
        <v>7</v>
      </c>
      <c r="AP228">
        <f t="shared" si="26"/>
        <v>5</v>
      </c>
      <c r="AQ228">
        <f t="shared" si="27"/>
        <v>7</v>
      </c>
      <c r="AR228">
        <f t="shared" si="28"/>
        <v>7</v>
      </c>
      <c r="AS228">
        <f t="shared" si="29"/>
        <v>7</v>
      </c>
      <c r="AT228">
        <f t="shared" si="30"/>
        <v>7</v>
      </c>
      <c r="AU228">
        <f t="shared" si="31"/>
        <v>7</v>
      </c>
      <c r="AV228">
        <f t="shared" si="32"/>
        <v>7</v>
      </c>
      <c r="AW228">
        <f t="shared" si="33"/>
        <v>7</v>
      </c>
      <c r="AX228">
        <f t="shared" si="34"/>
        <v>7</v>
      </c>
      <c r="AY228">
        <f t="shared" si="35"/>
        <v>7</v>
      </c>
    </row>
    <row r="229" spans="38:51" x14ac:dyDescent="0.25">
      <c r="AL229" s="19" t="s">
        <v>138</v>
      </c>
      <c r="AM229">
        <f t="shared" si="23"/>
        <v>7</v>
      </c>
      <c r="AN229">
        <f t="shared" si="24"/>
        <v>7</v>
      </c>
      <c r="AO229">
        <f t="shared" si="25"/>
        <v>7</v>
      </c>
      <c r="AP229">
        <f t="shared" si="26"/>
        <v>7</v>
      </c>
      <c r="AQ229">
        <f t="shared" si="27"/>
        <v>7</v>
      </c>
      <c r="AR229">
        <f t="shared" si="28"/>
        <v>7</v>
      </c>
      <c r="AS229">
        <f t="shared" si="29"/>
        <v>7</v>
      </c>
      <c r="AT229">
        <f t="shared" si="30"/>
        <v>7</v>
      </c>
      <c r="AU229">
        <f t="shared" si="31"/>
        <v>7</v>
      </c>
      <c r="AV229">
        <f t="shared" si="32"/>
        <v>7</v>
      </c>
      <c r="AW229">
        <f t="shared" si="33"/>
        <v>7</v>
      </c>
      <c r="AX229">
        <f t="shared" si="34"/>
        <v>7</v>
      </c>
      <c r="AY229">
        <f t="shared" si="35"/>
        <v>7</v>
      </c>
    </row>
    <row r="230" spans="38:51" x14ac:dyDescent="0.25">
      <c r="AL230" s="19" t="s">
        <v>291</v>
      </c>
      <c r="AM230">
        <f t="shared" si="23"/>
        <v>1</v>
      </c>
      <c r="AN230">
        <f t="shared" si="24"/>
        <v>7</v>
      </c>
      <c r="AO230">
        <f t="shared" si="25"/>
        <v>7</v>
      </c>
      <c r="AP230">
        <f t="shared" si="26"/>
        <v>3</v>
      </c>
      <c r="AQ230">
        <f t="shared" si="27"/>
        <v>7</v>
      </c>
      <c r="AR230">
        <f t="shared" si="28"/>
        <v>5</v>
      </c>
      <c r="AS230">
        <f t="shared" si="29"/>
        <v>7</v>
      </c>
      <c r="AT230">
        <f t="shared" si="30"/>
        <v>7</v>
      </c>
      <c r="AU230">
        <f t="shared" si="31"/>
        <v>7</v>
      </c>
      <c r="AV230">
        <f t="shared" si="32"/>
        <v>7</v>
      </c>
      <c r="AW230">
        <f t="shared" si="33"/>
        <v>7</v>
      </c>
      <c r="AX230">
        <f t="shared" si="34"/>
        <v>7</v>
      </c>
      <c r="AY230">
        <f t="shared" si="35"/>
        <v>7</v>
      </c>
    </row>
    <row r="231" spans="38:51" x14ac:dyDescent="0.25">
      <c r="AL231" s="19" t="s">
        <v>139</v>
      </c>
      <c r="AM231">
        <f t="shared" si="23"/>
        <v>7</v>
      </c>
      <c r="AN231">
        <f t="shared" si="24"/>
        <v>7</v>
      </c>
      <c r="AO231">
        <f t="shared" si="25"/>
        <v>7</v>
      </c>
      <c r="AP231">
        <f t="shared" si="26"/>
        <v>4</v>
      </c>
      <c r="AQ231">
        <f t="shared" si="27"/>
        <v>7</v>
      </c>
      <c r="AR231">
        <f t="shared" si="28"/>
        <v>7</v>
      </c>
      <c r="AS231">
        <f t="shared" si="29"/>
        <v>7</v>
      </c>
      <c r="AT231">
        <f t="shared" si="30"/>
        <v>7</v>
      </c>
      <c r="AU231">
        <f t="shared" si="31"/>
        <v>7</v>
      </c>
      <c r="AV231">
        <f t="shared" si="32"/>
        <v>7</v>
      </c>
      <c r="AW231">
        <f t="shared" si="33"/>
        <v>7</v>
      </c>
      <c r="AX231">
        <f t="shared" si="34"/>
        <v>7</v>
      </c>
      <c r="AY231">
        <f t="shared" si="35"/>
        <v>7</v>
      </c>
    </row>
    <row r="232" spans="38:51" x14ac:dyDescent="0.25">
      <c r="AL232" s="19" t="s">
        <v>140</v>
      </c>
      <c r="AM232">
        <f t="shared" si="23"/>
        <v>7</v>
      </c>
      <c r="AN232">
        <f t="shared" si="24"/>
        <v>7</v>
      </c>
      <c r="AO232">
        <f t="shared" si="25"/>
        <v>7</v>
      </c>
      <c r="AP232">
        <f t="shared" si="26"/>
        <v>4</v>
      </c>
      <c r="AQ232">
        <f t="shared" si="27"/>
        <v>7</v>
      </c>
      <c r="AR232">
        <f t="shared" si="28"/>
        <v>7</v>
      </c>
      <c r="AS232">
        <f t="shared" si="29"/>
        <v>7</v>
      </c>
      <c r="AT232">
        <f t="shared" si="30"/>
        <v>7</v>
      </c>
      <c r="AU232">
        <f t="shared" si="31"/>
        <v>1</v>
      </c>
      <c r="AV232">
        <f t="shared" si="32"/>
        <v>7</v>
      </c>
      <c r="AW232">
        <f t="shared" si="33"/>
        <v>7</v>
      </c>
      <c r="AX232">
        <f t="shared" si="34"/>
        <v>7</v>
      </c>
      <c r="AY232">
        <f t="shared" si="35"/>
        <v>7</v>
      </c>
    </row>
    <row r="233" spans="38:51" x14ac:dyDescent="0.25">
      <c r="AL233" s="19" t="s">
        <v>141</v>
      </c>
      <c r="AM233">
        <f t="shared" si="23"/>
        <v>7</v>
      </c>
      <c r="AN233">
        <f t="shared" si="24"/>
        <v>7</v>
      </c>
      <c r="AO233">
        <f t="shared" si="25"/>
        <v>7</v>
      </c>
      <c r="AP233">
        <f t="shared" si="26"/>
        <v>7</v>
      </c>
      <c r="AQ233">
        <f t="shared" si="27"/>
        <v>7</v>
      </c>
      <c r="AR233">
        <f t="shared" si="28"/>
        <v>7</v>
      </c>
      <c r="AS233">
        <f t="shared" si="29"/>
        <v>7</v>
      </c>
      <c r="AT233">
        <f t="shared" si="30"/>
        <v>7</v>
      </c>
      <c r="AU233">
        <f t="shared" si="31"/>
        <v>7</v>
      </c>
      <c r="AV233">
        <f t="shared" si="32"/>
        <v>7</v>
      </c>
      <c r="AW233">
        <f t="shared" si="33"/>
        <v>7</v>
      </c>
      <c r="AX233">
        <f t="shared" si="34"/>
        <v>7</v>
      </c>
      <c r="AY233">
        <f t="shared" si="35"/>
        <v>7</v>
      </c>
    </row>
    <row r="234" spans="38:51" x14ac:dyDescent="0.25">
      <c r="AL234" s="19" t="s">
        <v>142</v>
      </c>
      <c r="AM234">
        <f t="shared" si="23"/>
        <v>7</v>
      </c>
      <c r="AN234">
        <f t="shared" si="24"/>
        <v>7</v>
      </c>
      <c r="AO234">
        <f t="shared" si="25"/>
        <v>7</v>
      </c>
      <c r="AP234">
        <f t="shared" si="26"/>
        <v>7</v>
      </c>
      <c r="AQ234">
        <f t="shared" si="27"/>
        <v>7</v>
      </c>
      <c r="AR234">
        <f t="shared" si="28"/>
        <v>7</v>
      </c>
      <c r="AS234">
        <f t="shared" si="29"/>
        <v>7</v>
      </c>
      <c r="AT234">
        <f t="shared" si="30"/>
        <v>7</v>
      </c>
      <c r="AU234">
        <f t="shared" si="31"/>
        <v>7</v>
      </c>
      <c r="AV234">
        <f t="shared" si="32"/>
        <v>7</v>
      </c>
      <c r="AW234">
        <f t="shared" si="33"/>
        <v>7</v>
      </c>
      <c r="AX234">
        <f t="shared" si="34"/>
        <v>7</v>
      </c>
      <c r="AY234">
        <f t="shared" si="35"/>
        <v>7</v>
      </c>
    </row>
    <row r="235" spans="38:51" x14ac:dyDescent="0.25">
      <c r="AL235" s="19" t="s">
        <v>143</v>
      </c>
      <c r="AM235">
        <f t="shared" si="23"/>
        <v>1</v>
      </c>
      <c r="AN235">
        <f t="shared" si="24"/>
        <v>1</v>
      </c>
      <c r="AO235">
        <f t="shared" si="25"/>
        <v>0</v>
      </c>
      <c r="AP235">
        <f t="shared" si="26"/>
        <v>0</v>
      </c>
      <c r="AQ235">
        <f t="shared" si="27"/>
        <v>0</v>
      </c>
      <c r="AR235">
        <f t="shared" si="28"/>
        <v>0</v>
      </c>
      <c r="AS235">
        <f t="shared" si="29"/>
        <v>0</v>
      </c>
      <c r="AT235">
        <f t="shared" si="30"/>
        <v>0</v>
      </c>
      <c r="AU235">
        <f t="shared" si="31"/>
        <v>0</v>
      </c>
      <c r="AV235">
        <f t="shared" si="32"/>
        <v>0</v>
      </c>
      <c r="AW235">
        <f t="shared" si="33"/>
        <v>0</v>
      </c>
      <c r="AX235">
        <f t="shared" si="34"/>
        <v>0</v>
      </c>
      <c r="AY235">
        <f t="shared" si="35"/>
        <v>1</v>
      </c>
    </row>
    <row r="236" spans="38:51" x14ac:dyDescent="0.25">
      <c r="AL236" s="19" t="s">
        <v>144</v>
      </c>
      <c r="AM236">
        <f t="shared" si="23"/>
        <v>7</v>
      </c>
      <c r="AN236">
        <f t="shared" si="24"/>
        <v>7</v>
      </c>
      <c r="AO236">
        <f t="shared" si="25"/>
        <v>7</v>
      </c>
      <c r="AP236">
        <f t="shared" si="26"/>
        <v>6</v>
      </c>
      <c r="AQ236">
        <f t="shared" si="27"/>
        <v>7</v>
      </c>
      <c r="AR236">
        <f t="shared" si="28"/>
        <v>7</v>
      </c>
      <c r="AS236">
        <f t="shared" si="29"/>
        <v>7</v>
      </c>
      <c r="AT236">
        <f t="shared" si="30"/>
        <v>7</v>
      </c>
      <c r="AU236">
        <f t="shared" si="31"/>
        <v>7</v>
      </c>
      <c r="AV236">
        <f t="shared" si="32"/>
        <v>7</v>
      </c>
      <c r="AW236">
        <f t="shared" si="33"/>
        <v>7</v>
      </c>
      <c r="AX236">
        <f t="shared" si="34"/>
        <v>7</v>
      </c>
      <c r="AY236">
        <f t="shared" si="35"/>
        <v>7</v>
      </c>
    </row>
    <row r="237" spans="38:51" x14ac:dyDescent="0.25">
      <c r="AL237" s="19" t="s">
        <v>145</v>
      </c>
      <c r="AM237">
        <f t="shared" si="23"/>
        <v>5</v>
      </c>
      <c r="AN237">
        <f t="shared" si="24"/>
        <v>5</v>
      </c>
      <c r="AO237">
        <f t="shared" si="25"/>
        <v>7</v>
      </c>
      <c r="AP237">
        <f t="shared" si="26"/>
        <v>5</v>
      </c>
      <c r="AQ237">
        <f t="shared" si="27"/>
        <v>7</v>
      </c>
      <c r="AR237">
        <f t="shared" si="28"/>
        <v>7</v>
      </c>
      <c r="AS237">
        <f t="shared" si="29"/>
        <v>7</v>
      </c>
      <c r="AT237">
        <f t="shared" si="30"/>
        <v>7</v>
      </c>
      <c r="AU237">
        <f t="shared" si="31"/>
        <v>6</v>
      </c>
      <c r="AV237">
        <f t="shared" si="32"/>
        <v>6</v>
      </c>
      <c r="AW237">
        <f t="shared" si="33"/>
        <v>7</v>
      </c>
      <c r="AX237">
        <f t="shared" si="34"/>
        <v>7</v>
      </c>
      <c r="AY237">
        <f t="shared" si="35"/>
        <v>7</v>
      </c>
    </row>
    <row r="238" spans="38:51" x14ac:dyDescent="0.25">
      <c r="AL238" s="19" t="s">
        <v>146</v>
      </c>
      <c r="AM238">
        <f t="shared" si="23"/>
        <v>7</v>
      </c>
      <c r="AN238">
        <f t="shared" si="24"/>
        <v>7</v>
      </c>
      <c r="AO238">
        <f t="shared" si="25"/>
        <v>7</v>
      </c>
      <c r="AP238">
        <f t="shared" si="26"/>
        <v>5</v>
      </c>
      <c r="AQ238">
        <f t="shared" si="27"/>
        <v>7</v>
      </c>
      <c r="AR238">
        <f t="shared" si="28"/>
        <v>7</v>
      </c>
      <c r="AS238">
        <f t="shared" si="29"/>
        <v>7</v>
      </c>
      <c r="AT238">
        <f t="shared" si="30"/>
        <v>6</v>
      </c>
      <c r="AU238">
        <f t="shared" si="31"/>
        <v>6</v>
      </c>
      <c r="AV238">
        <f t="shared" si="32"/>
        <v>7</v>
      </c>
      <c r="AW238">
        <f t="shared" si="33"/>
        <v>7</v>
      </c>
      <c r="AX238">
        <f t="shared" si="34"/>
        <v>7</v>
      </c>
      <c r="AY238">
        <f t="shared" si="35"/>
        <v>7</v>
      </c>
    </row>
    <row r="239" spans="38:51" x14ac:dyDescent="0.25">
      <c r="AL239" s="19" t="s">
        <v>147</v>
      </c>
      <c r="AM239">
        <f t="shared" si="23"/>
        <v>7</v>
      </c>
      <c r="AN239">
        <f t="shared" si="24"/>
        <v>7</v>
      </c>
      <c r="AO239">
        <f t="shared" si="25"/>
        <v>7</v>
      </c>
      <c r="AP239">
        <f t="shared" si="26"/>
        <v>4</v>
      </c>
      <c r="AQ239">
        <f t="shared" si="27"/>
        <v>7</v>
      </c>
      <c r="AR239">
        <f t="shared" si="28"/>
        <v>7</v>
      </c>
      <c r="AS239">
        <f t="shared" si="29"/>
        <v>7</v>
      </c>
      <c r="AT239">
        <f t="shared" si="30"/>
        <v>7</v>
      </c>
      <c r="AU239">
        <f t="shared" si="31"/>
        <v>7</v>
      </c>
      <c r="AV239">
        <f t="shared" si="32"/>
        <v>7</v>
      </c>
      <c r="AW239">
        <f t="shared" si="33"/>
        <v>7</v>
      </c>
      <c r="AX239">
        <f t="shared" si="34"/>
        <v>6</v>
      </c>
      <c r="AY239">
        <f t="shared" si="35"/>
        <v>7</v>
      </c>
    </row>
    <row r="240" spans="38:51" x14ac:dyDescent="0.25">
      <c r="AL240" s="19" t="s">
        <v>328</v>
      </c>
      <c r="AM240">
        <f t="shared" si="23"/>
        <v>6</v>
      </c>
      <c r="AN240">
        <f t="shared" si="24"/>
        <v>7</v>
      </c>
      <c r="AO240">
        <f t="shared" si="25"/>
        <v>7</v>
      </c>
      <c r="AP240">
        <f t="shared" si="26"/>
        <v>4</v>
      </c>
      <c r="AQ240">
        <f t="shared" si="27"/>
        <v>7</v>
      </c>
      <c r="AR240">
        <f t="shared" si="28"/>
        <v>6</v>
      </c>
      <c r="AS240">
        <f t="shared" si="29"/>
        <v>5</v>
      </c>
      <c r="AT240">
        <f t="shared" si="30"/>
        <v>5</v>
      </c>
      <c r="AU240">
        <f t="shared" si="31"/>
        <v>0</v>
      </c>
      <c r="AV240">
        <f t="shared" si="32"/>
        <v>6</v>
      </c>
      <c r="AW240">
        <f t="shared" si="33"/>
        <v>5</v>
      </c>
      <c r="AX240">
        <f t="shared" si="34"/>
        <v>4</v>
      </c>
      <c r="AY240">
        <f t="shared" si="35"/>
        <v>4</v>
      </c>
    </row>
    <row r="241" spans="38:51" x14ac:dyDescent="0.25">
      <c r="AL241" s="19" t="s">
        <v>148</v>
      </c>
      <c r="AM241">
        <f t="shared" si="23"/>
        <v>7</v>
      </c>
      <c r="AN241">
        <f t="shared" si="24"/>
        <v>7</v>
      </c>
      <c r="AO241">
        <f t="shared" si="25"/>
        <v>7</v>
      </c>
      <c r="AP241">
        <f t="shared" si="26"/>
        <v>7</v>
      </c>
      <c r="AQ241">
        <f t="shared" si="27"/>
        <v>7</v>
      </c>
      <c r="AR241">
        <f t="shared" si="28"/>
        <v>7</v>
      </c>
      <c r="AS241">
        <f t="shared" si="29"/>
        <v>7</v>
      </c>
      <c r="AT241">
        <f t="shared" si="30"/>
        <v>6</v>
      </c>
      <c r="AU241">
        <f t="shared" si="31"/>
        <v>4</v>
      </c>
      <c r="AV241">
        <f t="shared" si="32"/>
        <v>7</v>
      </c>
      <c r="AW241">
        <f t="shared" si="33"/>
        <v>6</v>
      </c>
      <c r="AX241">
        <f t="shared" si="34"/>
        <v>7</v>
      </c>
      <c r="AY241">
        <f t="shared" si="35"/>
        <v>6</v>
      </c>
    </row>
    <row r="242" spans="38:51" x14ac:dyDescent="0.25">
      <c r="AL242" s="19" t="s">
        <v>149</v>
      </c>
      <c r="AM242">
        <f t="shared" si="23"/>
        <v>7</v>
      </c>
      <c r="AN242">
        <f t="shared" si="24"/>
        <v>7</v>
      </c>
      <c r="AO242">
        <f t="shared" si="25"/>
        <v>7</v>
      </c>
      <c r="AP242">
        <f t="shared" si="26"/>
        <v>5</v>
      </c>
      <c r="AQ242">
        <f t="shared" si="27"/>
        <v>7</v>
      </c>
      <c r="AR242">
        <f t="shared" si="28"/>
        <v>7</v>
      </c>
      <c r="AS242">
        <f t="shared" si="29"/>
        <v>7</v>
      </c>
      <c r="AT242">
        <f t="shared" si="30"/>
        <v>7</v>
      </c>
      <c r="AU242">
        <f t="shared" si="31"/>
        <v>6</v>
      </c>
      <c r="AV242">
        <f t="shared" si="32"/>
        <v>7</v>
      </c>
      <c r="AW242">
        <f t="shared" si="33"/>
        <v>7</v>
      </c>
      <c r="AX242">
        <f t="shared" si="34"/>
        <v>7</v>
      </c>
      <c r="AY242">
        <f t="shared" si="35"/>
        <v>7</v>
      </c>
    </row>
    <row r="243" spans="38:51" x14ac:dyDescent="0.25">
      <c r="AL243" s="19" t="s">
        <v>150</v>
      </c>
      <c r="AM243">
        <f t="shared" si="23"/>
        <v>7</v>
      </c>
      <c r="AN243">
        <f t="shared" si="24"/>
        <v>7</v>
      </c>
      <c r="AO243">
        <f t="shared" si="25"/>
        <v>7</v>
      </c>
      <c r="AP243">
        <f t="shared" si="26"/>
        <v>7</v>
      </c>
      <c r="AQ243">
        <f t="shared" si="27"/>
        <v>7</v>
      </c>
      <c r="AR243">
        <f t="shared" si="28"/>
        <v>7</v>
      </c>
      <c r="AS243">
        <f t="shared" si="29"/>
        <v>7</v>
      </c>
      <c r="AT243">
        <f t="shared" si="30"/>
        <v>7</v>
      </c>
      <c r="AU243">
        <f t="shared" si="31"/>
        <v>5</v>
      </c>
      <c r="AV243">
        <f t="shared" si="32"/>
        <v>7</v>
      </c>
      <c r="AW243">
        <f t="shared" si="33"/>
        <v>7</v>
      </c>
      <c r="AX243">
        <f t="shared" si="34"/>
        <v>7</v>
      </c>
      <c r="AY243">
        <f t="shared" si="35"/>
        <v>7</v>
      </c>
    </row>
    <row r="244" spans="38:51" x14ac:dyDescent="0.25">
      <c r="AL244" s="19" t="s">
        <v>151</v>
      </c>
      <c r="AM244">
        <f t="shared" si="23"/>
        <v>7</v>
      </c>
      <c r="AN244">
        <f t="shared" si="24"/>
        <v>7</v>
      </c>
      <c r="AO244">
        <f t="shared" si="25"/>
        <v>7</v>
      </c>
      <c r="AP244">
        <f t="shared" si="26"/>
        <v>7</v>
      </c>
      <c r="AQ244">
        <f t="shared" si="27"/>
        <v>7</v>
      </c>
      <c r="AR244">
        <f t="shared" si="28"/>
        <v>7</v>
      </c>
      <c r="AS244">
        <f t="shared" si="29"/>
        <v>7</v>
      </c>
      <c r="AT244">
        <f t="shared" si="30"/>
        <v>7</v>
      </c>
      <c r="AU244">
        <f t="shared" si="31"/>
        <v>6</v>
      </c>
      <c r="AV244">
        <f t="shared" si="32"/>
        <v>7</v>
      </c>
      <c r="AW244">
        <f t="shared" si="33"/>
        <v>7</v>
      </c>
      <c r="AX244">
        <f t="shared" si="34"/>
        <v>7</v>
      </c>
      <c r="AY244">
        <f t="shared" si="35"/>
        <v>7</v>
      </c>
    </row>
    <row r="245" spans="38:51" x14ac:dyDescent="0.25">
      <c r="AL245" s="19" t="s">
        <v>152</v>
      </c>
      <c r="AM245">
        <f t="shared" si="23"/>
        <v>7</v>
      </c>
      <c r="AN245">
        <f t="shared" si="24"/>
        <v>7</v>
      </c>
      <c r="AO245">
        <f t="shared" si="25"/>
        <v>7</v>
      </c>
      <c r="AP245">
        <f t="shared" si="26"/>
        <v>6</v>
      </c>
      <c r="AQ245">
        <f t="shared" si="27"/>
        <v>7</v>
      </c>
      <c r="AR245">
        <f t="shared" si="28"/>
        <v>7</v>
      </c>
      <c r="AS245">
        <f t="shared" si="29"/>
        <v>7</v>
      </c>
      <c r="AT245">
        <f t="shared" si="30"/>
        <v>7</v>
      </c>
      <c r="AU245">
        <f t="shared" si="31"/>
        <v>7</v>
      </c>
      <c r="AV245">
        <f t="shared" si="32"/>
        <v>7</v>
      </c>
      <c r="AW245">
        <f t="shared" si="33"/>
        <v>7</v>
      </c>
      <c r="AX245">
        <f t="shared" si="34"/>
        <v>7</v>
      </c>
      <c r="AY245">
        <f t="shared" si="35"/>
        <v>7</v>
      </c>
    </row>
    <row r="246" spans="38:51" x14ac:dyDescent="0.25">
      <c r="AL246" s="19" t="s">
        <v>153</v>
      </c>
      <c r="AM246">
        <f t="shared" si="23"/>
        <v>7</v>
      </c>
      <c r="AN246">
        <f t="shared" si="24"/>
        <v>7</v>
      </c>
      <c r="AO246">
        <f t="shared" si="25"/>
        <v>7</v>
      </c>
      <c r="AP246">
        <f t="shared" si="26"/>
        <v>6</v>
      </c>
      <c r="AQ246">
        <f t="shared" si="27"/>
        <v>7</v>
      </c>
      <c r="AR246">
        <f t="shared" si="28"/>
        <v>7</v>
      </c>
      <c r="AS246">
        <f t="shared" si="29"/>
        <v>7</v>
      </c>
      <c r="AT246">
        <f t="shared" si="30"/>
        <v>7</v>
      </c>
      <c r="AU246">
        <f t="shared" si="31"/>
        <v>7</v>
      </c>
      <c r="AV246">
        <f t="shared" si="32"/>
        <v>7</v>
      </c>
      <c r="AW246">
        <f t="shared" si="33"/>
        <v>7</v>
      </c>
      <c r="AX246">
        <f t="shared" si="34"/>
        <v>7</v>
      </c>
      <c r="AY246">
        <f t="shared" si="35"/>
        <v>7</v>
      </c>
    </row>
    <row r="247" spans="38:51" x14ac:dyDescent="0.25">
      <c r="AL247" s="19" t="s">
        <v>154</v>
      </c>
      <c r="AM247">
        <f t="shared" si="23"/>
        <v>7</v>
      </c>
      <c r="AN247">
        <f t="shared" si="24"/>
        <v>7</v>
      </c>
      <c r="AO247">
        <f t="shared" si="25"/>
        <v>7</v>
      </c>
      <c r="AP247">
        <f t="shared" si="26"/>
        <v>7</v>
      </c>
      <c r="AQ247">
        <f t="shared" si="27"/>
        <v>7</v>
      </c>
      <c r="AR247">
        <f t="shared" si="28"/>
        <v>7</v>
      </c>
      <c r="AS247">
        <f t="shared" si="29"/>
        <v>7</v>
      </c>
      <c r="AT247">
        <f t="shared" si="30"/>
        <v>7</v>
      </c>
      <c r="AU247">
        <f t="shared" si="31"/>
        <v>7</v>
      </c>
      <c r="AV247">
        <f t="shared" si="32"/>
        <v>7</v>
      </c>
      <c r="AW247">
        <f t="shared" si="33"/>
        <v>7</v>
      </c>
      <c r="AX247">
        <f t="shared" si="34"/>
        <v>7</v>
      </c>
      <c r="AY247">
        <f t="shared" si="35"/>
        <v>7</v>
      </c>
    </row>
    <row r="248" spans="38:51" x14ac:dyDescent="0.25">
      <c r="AL248" s="19" t="s">
        <v>155</v>
      </c>
      <c r="AM248">
        <f t="shared" si="23"/>
        <v>7</v>
      </c>
      <c r="AN248">
        <f t="shared" si="24"/>
        <v>7</v>
      </c>
      <c r="AO248">
        <f t="shared" si="25"/>
        <v>7</v>
      </c>
      <c r="AP248">
        <f t="shared" si="26"/>
        <v>5</v>
      </c>
      <c r="AQ248">
        <f t="shared" si="27"/>
        <v>7</v>
      </c>
      <c r="AR248">
        <f t="shared" si="28"/>
        <v>6</v>
      </c>
      <c r="AS248">
        <f t="shared" si="29"/>
        <v>7</v>
      </c>
      <c r="AT248">
        <f t="shared" si="30"/>
        <v>7</v>
      </c>
      <c r="AU248">
        <f t="shared" si="31"/>
        <v>7</v>
      </c>
      <c r="AV248">
        <f t="shared" si="32"/>
        <v>7</v>
      </c>
      <c r="AW248">
        <f t="shared" si="33"/>
        <v>7</v>
      </c>
      <c r="AX248">
        <f t="shared" si="34"/>
        <v>7</v>
      </c>
      <c r="AY248">
        <f t="shared" si="35"/>
        <v>7</v>
      </c>
    </row>
    <row r="249" spans="38:51" x14ac:dyDescent="0.25">
      <c r="AL249" s="19" t="s">
        <v>156</v>
      </c>
      <c r="AM249">
        <f t="shared" si="23"/>
        <v>7</v>
      </c>
      <c r="AN249">
        <f t="shared" si="24"/>
        <v>7</v>
      </c>
      <c r="AO249">
        <f t="shared" si="25"/>
        <v>7</v>
      </c>
      <c r="AP249">
        <f t="shared" si="26"/>
        <v>4</v>
      </c>
      <c r="AQ249">
        <f t="shared" si="27"/>
        <v>7</v>
      </c>
      <c r="AR249">
        <f t="shared" si="28"/>
        <v>7</v>
      </c>
      <c r="AS249">
        <f t="shared" si="29"/>
        <v>7</v>
      </c>
      <c r="AT249">
        <f t="shared" si="30"/>
        <v>7</v>
      </c>
      <c r="AU249">
        <f t="shared" si="31"/>
        <v>6</v>
      </c>
      <c r="AV249">
        <f t="shared" si="32"/>
        <v>5</v>
      </c>
      <c r="AW249">
        <f t="shared" si="33"/>
        <v>4</v>
      </c>
      <c r="AX249">
        <f t="shared" si="34"/>
        <v>6</v>
      </c>
      <c r="AY249">
        <f t="shared" si="35"/>
        <v>6</v>
      </c>
    </row>
    <row r="250" spans="38:51" x14ac:dyDescent="0.25">
      <c r="AL250" s="19" t="s">
        <v>157</v>
      </c>
      <c r="AM250">
        <f t="shared" si="23"/>
        <v>7</v>
      </c>
      <c r="AN250">
        <f t="shared" si="24"/>
        <v>7</v>
      </c>
      <c r="AO250">
        <f t="shared" si="25"/>
        <v>7</v>
      </c>
      <c r="AP250">
        <f t="shared" si="26"/>
        <v>5</v>
      </c>
      <c r="AQ250">
        <f t="shared" si="27"/>
        <v>7</v>
      </c>
      <c r="AR250">
        <f t="shared" si="28"/>
        <v>7</v>
      </c>
      <c r="AS250">
        <f t="shared" si="29"/>
        <v>7</v>
      </c>
      <c r="AT250">
        <f t="shared" si="30"/>
        <v>7</v>
      </c>
      <c r="AU250">
        <f t="shared" si="31"/>
        <v>4</v>
      </c>
      <c r="AV250">
        <f t="shared" si="32"/>
        <v>7</v>
      </c>
      <c r="AW250">
        <f t="shared" si="33"/>
        <v>7</v>
      </c>
      <c r="AX250">
        <f t="shared" si="34"/>
        <v>7</v>
      </c>
      <c r="AY250">
        <f t="shared" si="35"/>
        <v>7</v>
      </c>
    </row>
    <row r="251" spans="38:51" x14ac:dyDescent="0.25">
      <c r="AL251" s="19" t="s">
        <v>158</v>
      </c>
      <c r="AM251">
        <f t="shared" si="23"/>
        <v>7</v>
      </c>
      <c r="AN251">
        <f t="shared" si="24"/>
        <v>7</v>
      </c>
      <c r="AO251">
        <f t="shared" si="25"/>
        <v>7</v>
      </c>
      <c r="AP251">
        <f t="shared" si="26"/>
        <v>7</v>
      </c>
      <c r="AQ251">
        <f t="shared" si="27"/>
        <v>7</v>
      </c>
      <c r="AR251">
        <f t="shared" si="28"/>
        <v>7</v>
      </c>
      <c r="AS251">
        <f t="shared" si="29"/>
        <v>7</v>
      </c>
      <c r="AT251">
        <f t="shared" si="30"/>
        <v>7</v>
      </c>
      <c r="AU251">
        <f t="shared" si="31"/>
        <v>6</v>
      </c>
      <c r="AV251">
        <f t="shared" si="32"/>
        <v>7</v>
      </c>
      <c r="AW251">
        <f t="shared" si="33"/>
        <v>7</v>
      </c>
      <c r="AX251">
        <f t="shared" si="34"/>
        <v>7</v>
      </c>
      <c r="AY251">
        <f t="shared" si="35"/>
        <v>7</v>
      </c>
    </row>
    <row r="252" spans="38:51" x14ac:dyDescent="0.25">
      <c r="AL252" s="19" t="s">
        <v>159</v>
      </c>
      <c r="AM252">
        <f t="shared" si="23"/>
        <v>0</v>
      </c>
      <c r="AN252">
        <f t="shared" si="24"/>
        <v>0</v>
      </c>
      <c r="AO252">
        <f t="shared" si="25"/>
        <v>0</v>
      </c>
      <c r="AP252">
        <f t="shared" si="26"/>
        <v>0</v>
      </c>
      <c r="AQ252">
        <f t="shared" si="27"/>
        <v>0</v>
      </c>
      <c r="AR252">
        <f t="shared" si="28"/>
        <v>2</v>
      </c>
      <c r="AS252">
        <f t="shared" si="29"/>
        <v>4</v>
      </c>
      <c r="AT252">
        <f t="shared" si="30"/>
        <v>2</v>
      </c>
      <c r="AU252">
        <f t="shared" si="31"/>
        <v>0</v>
      </c>
      <c r="AV252">
        <f t="shared" si="32"/>
        <v>0</v>
      </c>
      <c r="AW252">
        <f t="shared" si="33"/>
        <v>0</v>
      </c>
      <c r="AX252">
        <f t="shared" si="34"/>
        <v>0</v>
      </c>
      <c r="AY252">
        <f t="shared" si="35"/>
        <v>0</v>
      </c>
    </row>
    <row r="253" spans="38:51" x14ac:dyDescent="0.25">
      <c r="AL253" s="19" t="s">
        <v>160</v>
      </c>
      <c r="AM253">
        <f t="shared" si="23"/>
        <v>7</v>
      </c>
      <c r="AN253">
        <f t="shared" si="24"/>
        <v>7</v>
      </c>
      <c r="AO253">
        <f t="shared" si="25"/>
        <v>7</v>
      </c>
      <c r="AP253">
        <f t="shared" si="26"/>
        <v>7</v>
      </c>
      <c r="AQ253">
        <f t="shared" si="27"/>
        <v>7</v>
      </c>
      <c r="AR253">
        <f t="shared" si="28"/>
        <v>7</v>
      </c>
      <c r="AS253">
        <f t="shared" si="29"/>
        <v>7</v>
      </c>
      <c r="AT253">
        <f t="shared" si="30"/>
        <v>7</v>
      </c>
      <c r="AU253">
        <f t="shared" si="31"/>
        <v>5</v>
      </c>
      <c r="AV253">
        <f t="shared" si="32"/>
        <v>7</v>
      </c>
      <c r="AW253">
        <f t="shared" si="33"/>
        <v>7</v>
      </c>
      <c r="AX253">
        <f t="shared" si="34"/>
        <v>7</v>
      </c>
      <c r="AY253">
        <f t="shared" si="35"/>
        <v>7</v>
      </c>
    </row>
    <row r="254" spans="38:51" x14ac:dyDescent="0.25">
      <c r="AL254" s="19" t="s">
        <v>292</v>
      </c>
      <c r="AM254">
        <f t="shared" si="23"/>
        <v>7</v>
      </c>
      <c r="AN254">
        <f t="shared" si="24"/>
        <v>7</v>
      </c>
      <c r="AO254">
        <f t="shared" si="25"/>
        <v>7</v>
      </c>
      <c r="AP254">
        <f t="shared" si="26"/>
        <v>7</v>
      </c>
      <c r="AQ254">
        <f t="shared" si="27"/>
        <v>7</v>
      </c>
      <c r="AR254">
        <f t="shared" si="28"/>
        <v>7</v>
      </c>
      <c r="AS254">
        <f t="shared" si="29"/>
        <v>7</v>
      </c>
      <c r="AT254">
        <f t="shared" si="30"/>
        <v>7</v>
      </c>
      <c r="AU254">
        <f t="shared" si="31"/>
        <v>7</v>
      </c>
      <c r="AV254">
        <f t="shared" si="32"/>
        <v>7</v>
      </c>
      <c r="AW254">
        <f t="shared" si="33"/>
        <v>7</v>
      </c>
      <c r="AX254">
        <f t="shared" si="34"/>
        <v>7</v>
      </c>
      <c r="AY254">
        <f t="shared" si="35"/>
        <v>7</v>
      </c>
    </row>
    <row r="255" spans="38:51" x14ac:dyDescent="0.25">
      <c r="AL255" s="100" t="s">
        <v>161</v>
      </c>
      <c r="AM255">
        <f t="shared" si="23"/>
        <v>7</v>
      </c>
      <c r="AN255">
        <f t="shared" si="24"/>
        <v>7</v>
      </c>
      <c r="AO255">
        <f t="shared" si="25"/>
        <v>7</v>
      </c>
      <c r="AP255">
        <f t="shared" si="26"/>
        <v>7</v>
      </c>
      <c r="AQ255">
        <f t="shared" si="27"/>
        <v>7</v>
      </c>
      <c r="AR255">
        <f t="shared" si="28"/>
        <v>7</v>
      </c>
      <c r="AS255">
        <f t="shared" si="29"/>
        <v>7</v>
      </c>
      <c r="AT255">
        <f t="shared" si="30"/>
        <v>7</v>
      </c>
      <c r="AU255">
        <f t="shared" si="31"/>
        <v>7</v>
      </c>
      <c r="AV255">
        <f t="shared" si="32"/>
        <v>7</v>
      </c>
      <c r="AW255">
        <f t="shared" si="33"/>
        <v>7</v>
      </c>
      <c r="AX255">
        <f t="shared" si="34"/>
        <v>7</v>
      </c>
      <c r="AY255">
        <f t="shared" si="35"/>
        <v>7</v>
      </c>
    </row>
    <row r="256" spans="38:51" x14ac:dyDescent="0.25">
      <c r="AL256" s="19" t="s">
        <v>162</v>
      </c>
      <c r="AM256">
        <f t="shared" si="23"/>
        <v>5</v>
      </c>
      <c r="AN256">
        <f t="shared" si="24"/>
        <v>7</v>
      </c>
      <c r="AO256">
        <f t="shared" si="25"/>
        <v>7</v>
      </c>
      <c r="AP256">
        <f t="shared" si="26"/>
        <v>0</v>
      </c>
      <c r="AQ256">
        <f t="shared" si="27"/>
        <v>6</v>
      </c>
      <c r="AR256">
        <f t="shared" si="28"/>
        <v>7</v>
      </c>
      <c r="AS256">
        <f t="shared" si="29"/>
        <v>7</v>
      </c>
      <c r="AT256">
        <f t="shared" si="30"/>
        <v>7</v>
      </c>
      <c r="AU256">
        <f t="shared" si="31"/>
        <v>1</v>
      </c>
      <c r="AV256">
        <f t="shared" si="32"/>
        <v>7</v>
      </c>
      <c r="AW256">
        <f t="shared" si="33"/>
        <v>3</v>
      </c>
      <c r="AX256">
        <f t="shared" si="34"/>
        <v>3</v>
      </c>
      <c r="AY256">
        <f t="shared" si="35"/>
        <v>5</v>
      </c>
    </row>
    <row r="257" spans="38:51" x14ac:dyDescent="0.25">
      <c r="AL257" s="19" t="s">
        <v>163</v>
      </c>
      <c r="AM257">
        <f t="shared" si="23"/>
        <v>7</v>
      </c>
      <c r="AN257">
        <f t="shared" si="24"/>
        <v>7</v>
      </c>
      <c r="AO257">
        <f t="shared" si="25"/>
        <v>7</v>
      </c>
      <c r="AP257">
        <f t="shared" si="26"/>
        <v>3</v>
      </c>
      <c r="AQ257">
        <f t="shared" si="27"/>
        <v>7</v>
      </c>
      <c r="AR257">
        <f t="shared" si="28"/>
        <v>7</v>
      </c>
      <c r="AS257">
        <f t="shared" si="29"/>
        <v>7</v>
      </c>
      <c r="AT257">
        <f t="shared" si="30"/>
        <v>7</v>
      </c>
      <c r="AU257">
        <f t="shared" si="31"/>
        <v>4</v>
      </c>
      <c r="AV257">
        <f t="shared" si="32"/>
        <v>7</v>
      </c>
      <c r="AW257">
        <f t="shared" si="33"/>
        <v>7</v>
      </c>
      <c r="AX257">
        <f t="shared" si="34"/>
        <v>7</v>
      </c>
      <c r="AY257">
        <f t="shared" si="35"/>
        <v>7</v>
      </c>
    </row>
    <row r="258" spans="38:51" x14ac:dyDescent="0.25">
      <c r="AL258" s="19" t="s">
        <v>164</v>
      </c>
      <c r="AM258">
        <f t="shared" si="23"/>
        <v>7</v>
      </c>
      <c r="AN258">
        <f t="shared" si="24"/>
        <v>7</v>
      </c>
      <c r="AO258">
        <f t="shared" si="25"/>
        <v>7</v>
      </c>
      <c r="AP258">
        <f t="shared" si="26"/>
        <v>7</v>
      </c>
      <c r="AQ258">
        <f t="shared" si="27"/>
        <v>7</v>
      </c>
      <c r="AR258">
        <f t="shared" si="28"/>
        <v>7</v>
      </c>
      <c r="AS258">
        <f t="shared" si="29"/>
        <v>7</v>
      </c>
      <c r="AT258">
        <f t="shared" si="30"/>
        <v>7</v>
      </c>
      <c r="AU258">
        <f t="shared" si="31"/>
        <v>7</v>
      </c>
      <c r="AV258">
        <f t="shared" si="32"/>
        <v>7</v>
      </c>
      <c r="AW258">
        <f t="shared" si="33"/>
        <v>7</v>
      </c>
      <c r="AX258">
        <f t="shared" si="34"/>
        <v>7</v>
      </c>
      <c r="AY258">
        <f t="shared" si="35"/>
        <v>7</v>
      </c>
    </row>
    <row r="259" spans="38:51" x14ac:dyDescent="0.25">
      <c r="AL259" s="19" t="s">
        <v>165</v>
      </c>
      <c r="AM259">
        <f t="shared" si="23"/>
        <v>7</v>
      </c>
      <c r="AN259">
        <f t="shared" si="24"/>
        <v>7</v>
      </c>
      <c r="AO259">
        <f t="shared" si="25"/>
        <v>7</v>
      </c>
      <c r="AP259">
        <f t="shared" si="26"/>
        <v>7</v>
      </c>
      <c r="AQ259">
        <f t="shared" si="27"/>
        <v>7</v>
      </c>
      <c r="AR259">
        <f t="shared" si="28"/>
        <v>7</v>
      </c>
      <c r="AS259">
        <f t="shared" si="29"/>
        <v>7</v>
      </c>
      <c r="AT259">
        <f t="shared" si="30"/>
        <v>7</v>
      </c>
      <c r="AU259">
        <f t="shared" si="31"/>
        <v>7</v>
      </c>
      <c r="AV259">
        <f t="shared" si="32"/>
        <v>7</v>
      </c>
      <c r="AW259">
        <f t="shared" si="33"/>
        <v>7</v>
      </c>
      <c r="AX259">
        <f t="shared" si="34"/>
        <v>7</v>
      </c>
      <c r="AY259">
        <f t="shared" si="35"/>
        <v>7</v>
      </c>
    </row>
    <row r="260" spans="38:51" x14ac:dyDescent="0.25">
      <c r="AL260" s="19" t="s">
        <v>166</v>
      </c>
      <c r="AM260">
        <f t="shared" si="23"/>
        <v>6</v>
      </c>
      <c r="AN260">
        <f t="shared" si="24"/>
        <v>6</v>
      </c>
      <c r="AO260">
        <f t="shared" si="25"/>
        <v>3</v>
      </c>
      <c r="AP260">
        <f t="shared" si="26"/>
        <v>0</v>
      </c>
      <c r="AQ260">
        <f t="shared" si="27"/>
        <v>0</v>
      </c>
      <c r="AR260">
        <f t="shared" si="28"/>
        <v>1</v>
      </c>
      <c r="AS260">
        <f t="shared" si="29"/>
        <v>3</v>
      </c>
      <c r="AT260">
        <f t="shared" si="30"/>
        <v>5</v>
      </c>
      <c r="AU260">
        <f t="shared" si="31"/>
        <v>1</v>
      </c>
      <c r="AV260">
        <f t="shared" si="32"/>
        <v>6</v>
      </c>
      <c r="AW260">
        <f t="shared" si="33"/>
        <v>7</v>
      </c>
      <c r="AX260">
        <f t="shared" si="34"/>
        <v>7</v>
      </c>
      <c r="AY260">
        <f t="shared" si="35"/>
        <v>7</v>
      </c>
    </row>
    <row r="261" spans="38:51" x14ac:dyDescent="0.25">
      <c r="AL261" s="19" t="s">
        <v>167</v>
      </c>
      <c r="AM261">
        <f t="shared" si="23"/>
        <v>7</v>
      </c>
      <c r="AN261">
        <f t="shared" si="24"/>
        <v>7</v>
      </c>
      <c r="AO261">
        <f t="shared" si="25"/>
        <v>7</v>
      </c>
      <c r="AP261">
        <f t="shared" si="26"/>
        <v>5</v>
      </c>
      <c r="AQ261">
        <f t="shared" si="27"/>
        <v>7</v>
      </c>
      <c r="AR261">
        <f t="shared" si="28"/>
        <v>7</v>
      </c>
      <c r="AS261">
        <f t="shared" si="29"/>
        <v>7</v>
      </c>
      <c r="AT261">
        <f t="shared" si="30"/>
        <v>7</v>
      </c>
      <c r="AU261">
        <f t="shared" si="31"/>
        <v>7</v>
      </c>
      <c r="AV261">
        <f t="shared" si="32"/>
        <v>7</v>
      </c>
      <c r="AW261">
        <f t="shared" si="33"/>
        <v>7</v>
      </c>
      <c r="AX261">
        <f t="shared" si="34"/>
        <v>7</v>
      </c>
      <c r="AY261">
        <f t="shared" si="35"/>
        <v>7</v>
      </c>
    </row>
    <row r="262" spans="38:51" x14ac:dyDescent="0.25">
      <c r="AL262" s="19" t="s">
        <v>168</v>
      </c>
      <c r="AM262">
        <f t="shared" si="23"/>
        <v>7</v>
      </c>
      <c r="AN262">
        <f t="shared" si="24"/>
        <v>7</v>
      </c>
      <c r="AO262">
        <f t="shared" si="25"/>
        <v>7</v>
      </c>
      <c r="AP262">
        <f t="shared" si="26"/>
        <v>7</v>
      </c>
      <c r="AQ262">
        <f t="shared" si="27"/>
        <v>7</v>
      </c>
      <c r="AR262">
        <f t="shared" si="28"/>
        <v>6</v>
      </c>
      <c r="AS262">
        <f t="shared" si="29"/>
        <v>7</v>
      </c>
      <c r="AT262">
        <f t="shared" si="30"/>
        <v>7</v>
      </c>
      <c r="AU262">
        <f t="shared" si="31"/>
        <v>7</v>
      </c>
      <c r="AV262">
        <f t="shared" si="32"/>
        <v>7</v>
      </c>
      <c r="AW262">
        <f t="shared" si="33"/>
        <v>7</v>
      </c>
      <c r="AX262">
        <f t="shared" si="34"/>
        <v>7</v>
      </c>
      <c r="AY262">
        <f t="shared" si="35"/>
        <v>7</v>
      </c>
    </row>
    <row r="263" spans="38:51" x14ac:dyDescent="0.25">
      <c r="AL263" s="19" t="s">
        <v>169</v>
      </c>
      <c r="AM263">
        <f t="shared" si="23"/>
        <v>7</v>
      </c>
      <c r="AN263">
        <f t="shared" si="24"/>
        <v>7</v>
      </c>
      <c r="AO263">
        <f t="shared" si="25"/>
        <v>7</v>
      </c>
      <c r="AP263">
        <f t="shared" si="26"/>
        <v>5</v>
      </c>
      <c r="AQ263">
        <f t="shared" si="27"/>
        <v>6</v>
      </c>
      <c r="AR263">
        <f t="shared" si="28"/>
        <v>7</v>
      </c>
      <c r="AS263">
        <f t="shared" si="29"/>
        <v>7</v>
      </c>
      <c r="AT263">
        <f t="shared" si="30"/>
        <v>7</v>
      </c>
      <c r="AU263">
        <f t="shared" si="31"/>
        <v>5</v>
      </c>
      <c r="AV263">
        <f t="shared" si="32"/>
        <v>7</v>
      </c>
      <c r="AW263">
        <f t="shared" si="33"/>
        <v>7</v>
      </c>
      <c r="AX263">
        <f t="shared" si="34"/>
        <v>7</v>
      </c>
      <c r="AY263">
        <f t="shared" si="35"/>
        <v>7</v>
      </c>
    </row>
    <row r="264" spans="38:51" x14ac:dyDescent="0.25">
      <c r="AL264" s="19" t="s">
        <v>170</v>
      </c>
      <c r="AM264">
        <f t="shared" si="23"/>
        <v>7</v>
      </c>
      <c r="AN264">
        <f t="shared" si="24"/>
        <v>7</v>
      </c>
      <c r="AO264">
        <f t="shared" si="25"/>
        <v>7</v>
      </c>
      <c r="AP264">
        <f t="shared" si="26"/>
        <v>7</v>
      </c>
      <c r="AQ264">
        <f t="shared" si="27"/>
        <v>7</v>
      </c>
      <c r="AR264">
        <f t="shared" si="28"/>
        <v>7</v>
      </c>
      <c r="AS264">
        <f t="shared" si="29"/>
        <v>7</v>
      </c>
      <c r="AT264">
        <f t="shared" si="30"/>
        <v>7</v>
      </c>
      <c r="AU264">
        <f t="shared" si="31"/>
        <v>7</v>
      </c>
      <c r="AV264">
        <f t="shared" si="32"/>
        <v>7</v>
      </c>
      <c r="AW264">
        <f t="shared" si="33"/>
        <v>7</v>
      </c>
      <c r="AX264">
        <f t="shared" si="34"/>
        <v>7</v>
      </c>
      <c r="AY264">
        <f t="shared" si="35"/>
        <v>7</v>
      </c>
    </row>
    <row r="265" spans="38:51" x14ac:dyDescent="0.25">
      <c r="AL265" s="19" t="s">
        <v>240</v>
      </c>
      <c r="AM265">
        <f t="shared" si="23"/>
        <v>7</v>
      </c>
      <c r="AN265">
        <f t="shared" si="24"/>
        <v>7</v>
      </c>
      <c r="AO265">
        <f t="shared" si="25"/>
        <v>7</v>
      </c>
      <c r="AP265">
        <f t="shared" si="26"/>
        <v>5</v>
      </c>
      <c r="AQ265">
        <f t="shared" si="27"/>
        <v>7</v>
      </c>
      <c r="AR265">
        <f t="shared" si="28"/>
        <v>7</v>
      </c>
      <c r="AS265">
        <f t="shared" si="29"/>
        <v>7</v>
      </c>
      <c r="AT265">
        <f t="shared" si="30"/>
        <v>7</v>
      </c>
      <c r="AU265">
        <f t="shared" si="31"/>
        <v>4</v>
      </c>
      <c r="AV265">
        <f t="shared" si="32"/>
        <v>7</v>
      </c>
      <c r="AW265">
        <f t="shared" si="33"/>
        <v>7</v>
      </c>
      <c r="AX265">
        <f t="shared" si="34"/>
        <v>7</v>
      </c>
      <c r="AY265">
        <f t="shared" si="35"/>
        <v>7</v>
      </c>
    </row>
    <row r="266" spans="38:51" x14ac:dyDescent="0.25">
      <c r="AL266" s="19" t="s">
        <v>171</v>
      </c>
      <c r="AM266">
        <f t="shared" si="23"/>
        <v>7</v>
      </c>
      <c r="AN266">
        <f t="shared" si="24"/>
        <v>7</v>
      </c>
      <c r="AO266">
        <f t="shared" si="25"/>
        <v>7</v>
      </c>
      <c r="AP266">
        <f t="shared" si="26"/>
        <v>4</v>
      </c>
      <c r="AQ266">
        <f t="shared" si="27"/>
        <v>7</v>
      </c>
      <c r="AR266">
        <f t="shared" si="28"/>
        <v>7</v>
      </c>
      <c r="AS266">
        <f t="shared" si="29"/>
        <v>7</v>
      </c>
      <c r="AT266">
        <f t="shared" si="30"/>
        <v>7</v>
      </c>
      <c r="AU266">
        <f t="shared" si="31"/>
        <v>4</v>
      </c>
      <c r="AV266">
        <f t="shared" si="32"/>
        <v>7</v>
      </c>
      <c r="AW266">
        <f t="shared" si="33"/>
        <v>7</v>
      </c>
      <c r="AX266">
        <f t="shared" si="34"/>
        <v>7</v>
      </c>
      <c r="AY266">
        <f t="shared" si="35"/>
        <v>7</v>
      </c>
    </row>
    <row r="267" spans="38:51" x14ac:dyDescent="0.25">
      <c r="AL267" s="19" t="s">
        <v>172</v>
      </c>
      <c r="AM267">
        <f t="shared" si="23"/>
        <v>7</v>
      </c>
      <c r="AN267">
        <f t="shared" si="24"/>
        <v>7</v>
      </c>
      <c r="AO267">
        <f t="shared" si="25"/>
        <v>7</v>
      </c>
      <c r="AP267">
        <f t="shared" si="26"/>
        <v>7</v>
      </c>
      <c r="AQ267">
        <f t="shared" si="27"/>
        <v>7</v>
      </c>
      <c r="AR267">
        <f t="shared" si="28"/>
        <v>7</v>
      </c>
      <c r="AS267">
        <f t="shared" si="29"/>
        <v>7</v>
      </c>
      <c r="AT267">
        <f t="shared" si="30"/>
        <v>7</v>
      </c>
      <c r="AU267">
        <f t="shared" si="31"/>
        <v>5</v>
      </c>
      <c r="AV267">
        <f t="shared" si="32"/>
        <v>7</v>
      </c>
      <c r="AW267">
        <f t="shared" si="33"/>
        <v>7</v>
      </c>
      <c r="AX267">
        <f t="shared" si="34"/>
        <v>7</v>
      </c>
      <c r="AY267">
        <f t="shared" si="35"/>
        <v>7</v>
      </c>
    </row>
    <row r="268" spans="38:51" x14ac:dyDescent="0.25">
      <c r="AL268" s="19" t="s">
        <v>173</v>
      </c>
      <c r="AM268">
        <f t="shared" si="23"/>
        <v>7</v>
      </c>
      <c r="AN268">
        <f t="shared" si="24"/>
        <v>7</v>
      </c>
      <c r="AO268">
        <f t="shared" si="25"/>
        <v>7</v>
      </c>
      <c r="AP268">
        <f t="shared" si="26"/>
        <v>7</v>
      </c>
      <c r="AQ268">
        <f t="shared" si="27"/>
        <v>7</v>
      </c>
      <c r="AR268">
        <f t="shared" si="28"/>
        <v>7</v>
      </c>
      <c r="AS268">
        <f t="shared" si="29"/>
        <v>7</v>
      </c>
      <c r="AT268">
        <f t="shared" si="30"/>
        <v>7</v>
      </c>
      <c r="AU268">
        <f t="shared" si="31"/>
        <v>7</v>
      </c>
      <c r="AV268">
        <f t="shared" si="32"/>
        <v>7</v>
      </c>
      <c r="AW268">
        <f t="shared" si="33"/>
        <v>7</v>
      </c>
      <c r="AX268">
        <f t="shared" si="34"/>
        <v>7</v>
      </c>
      <c r="AY268">
        <f t="shared" si="35"/>
        <v>7</v>
      </c>
    </row>
    <row r="269" spans="38:51" x14ac:dyDescent="0.25">
      <c r="AL269" s="19" t="s">
        <v>236</v>
      </c>
      <c r="AM269">
        <f t="shared" si="23"/>
        <v>7</v>
      </c>
      <c r="AN269">
        <f t="shared" si="24"/>
        <v>7</v>
      </c>
      <c r="AO269">
        <f t="shared" si="25"/>
        <v>7</v>
      </c>
      <c r="AP269">
        <f t="shared" si="26"/>
        <v>7</v>
      </c>
      <c r="AQ269">
        <f t="shared" si="27"/>
        <v>7</v>
      </c>
      <c r="AR269">
        <f t="shared" si="28"/>
        <v>7</v>
      </c>
      <c r="AS269">
        <f t="shared" si="29"/>
        <v>7</v>
      </c>
      <c r="AT269">
        <f t="shared" si="30"/>
        <v>7</v>
      </c>
      <c r="AU269">
        <f t="shared" si="31"/>
        <v>7</v>
      </c>
      <c r="AV269">
        <f t="shared" si="32"/>
        <v>7</v>
      </c>
      <c r="AW269">
        <f t="shared" si="33"/>
        <v>7</v>
      </c>
      <c r="AX269">
        <f t="shared" si="34"/>
        <v>7</v>
      </c>
      <c r="AY269">
        <f t="shared" si="35"/>
        <v>7</v>
      </c>
    </row>
    <row r="270" spans="38:51" x14ac:dyDescent="0.25">
      <c r="AL270" s="19" t="s">
        <v>174</v>
      </c>
      <c r="AM270">
        <f t="shared" si="23"/>
        <v>7</v>
      </c>
      <c r="AN270">
        <f t="shared" si="24"/>
        <v>7</v>
      </c>
      <c r="AO270">
        <f t="shared" si="25"/>
        <v>7</v>
      </c>
      <c r="AP270">
        <f t="shared" si="26"/>
        <v>7</v>
      </c>
      <c r="AQ270">
        <f t="shared" si="27"/>
        <v>7</v>
      </c>
      <c r="AR270">
        <f t="shared" si="28"/>
        <v>7</v>
      </c>
      <c r="AS270">
        <f t="shared" si="29"/>
        <v>7</v>
      </c>
      <c r="AT270">
        <f t="shared" si="30"/>
        <v>7</v>
      </c>
      <c r="AU270">
        <f t="shared" si="31"/>
        <v>7</v>
      </c>
      <c r="AV270">
        <f t="shared" si="32"/>
        <v>7</v>
      </c>
      <c r="AW270">
        <f t="shared" si="33"/>
        <v>7</v>
      </c>
      <c r="AX270">
        <f t="shared" si="34"/>
        <v>7</v>
      </c>
      <c r="AY270">
        <f t="shared" si="35"/>
        <v>7</v>
      </c>
    </row>
    <row r="271" spans="38:51" x14ac:dyDescent="0.25">
      <c r="AL271" s="19" t="s">
        <v>175</v>
      </c>
      <c r="AM271">
        <f t="shared" si="23"/>
        <v>7</v>
      </c>
      <c r="AN271">
        <f t="shared" si="24"/>
        <v>7</v>
      </c>
      <c r="AO271">
        <f t="shared" si="25"/>
        <v>7</v>
      </c>
      <c r="AP271">
        <f t="shared" si="26"/>
        <v>5</v>
      </c>
      <c r="AQ271">
        <f t="shared" si="27"/>
        <v>7</v>
      </c>
      <c r="AR271">
        <f t="shared" si="28"/>
        <v>7</v>
      </c>
      <c r="AS271">
        <f t="shared" si="29"/>
        <v>7</v>
      </c>
      <c r="AT271">
        <f t="shared" si="30"/>
        <v>7</v>
      </c>
      <c r="AU271">
        <f t="shared" si="31"/>
        <v>2</v>
      </c>
      <c r="AV271">
        <f t="shared" si="32"/>
        <v>7</v>
      </c>
      <c r="AW271">
        <f t="shared" si="33"/>
        <v>7</v>
      </c>
      <c r="AX271">
        <f t="shared" si="34"/>
        <v>7</v>
      </c>
      <c r="AY271">
        <f t="shared" si="35"/>
        <v>7</v>
      </c>
    </row>
    <row r="272" spans="38:51" x14ac:dyDescent="0.25">
      <c r="AL272" s="19" t="s">
        <v>176</v>
      </c>
      <c r="AM272">
        <f t="shared" si="23"/>
        <v>7</v>
      </c>
      <c r="AN272">
        <f t="shared" si="24"/>
        <v>7</v>
      </c>
      <c r="AO272">
        <f t="shared" si="25"/>
        <v>6</v>
      </c>
      <c r="AP272">
        <f t="shared" si="26"/>
        <v>6</v>
      </c>
      <c r="AQ272">
        <f t="shared" si="27"/>
        <v>7</v>
      </c>
      <c r="AR272">
        <f t="shared" si="28"/>
        <v>7</v>
      </c>
      <c r="AS272">
        <f t="shared" si="29"/>
        <v>7</v>
      </c>
      <c r="AT272">
        <f t="shared" si="30"/>
        <v>7</v>
      </c>
      <c r="AU272">
        <f t="shared" si="31"/>
        <v>7</v>
      </c>
      <c r="AV272">
        <f t="shared" si="32"/>
        <v>7</v>
      </c>
      <c r="AW272">
        <f t="shared" si="33"/>
        <v>7</v>
      </c>
      <c r="AX272">
        <f t="shared" si="34"/>
        <v>7</v>
      </c>
      <c r="AY272">
        <f t="shared" si="35"/>
        <v>7</v>
      </c>
    </row>
    <row r="273" spans="38:51" x14ac:dyDescent="0.25">
      <c r="AL273" s="19" t="s">
        <v>177</v>
      </c>
      <c r="AM273">
        <f t="shared" si="23"/>
        <v>7</v>
      </c>
      <c r="AN273">
        <f t="shared" si="24"/>
        <v>7</v>
      </c>
      <c r="AO273">
        <f t="shared" si="25"/>
        <v>7</v>
      </c>
      <c r="AP273">
        <f t="shared" si="26"/>
        <v>6</v>
      </c>
      <c r="AQ273">
        <f t="shared" si="27"/>
        <v>7</v>
      </c>
      <c r="AR273">
        <f t="shared" si="28"/>
        <v>7</v>
      </c>
      <c r="AS273">
        <f t="shared" si="29"/>
        <v>7</v>
      </c>
      <c r="AT273">
        <f t="shared" si="30"/>
        <v>7</v>
      </c>
      <c r="AU273">
        <f t="shared" si="31"/>
        <v>7</v>
      </c>
      <c r="AV273">
        <f t="shared" si="32"/>
        <v>7</v>
      </c>
      <c r="AW273">
        <f t="shared" si="33"/>
        <v>7</v>
      </c>
      <c r="AX273">
        <f t="shared" si="34"/>
        <v>7</v>
      </c>
      <c r="AY273">
        <f t="shared" si="35"/>
        <v>7</v>
      </c>
    </row>
    <row r="274" spans="38:51" x14ac:dyDescent="0.25">
      <c r="AL274" s="19" t="s">
        <v>178</v>
      </c>
      <c r="AM274">
        <f t="shared" si="23"/>
        <v>7</v>
      </c>
      <c r="AN274">
        <f t="shared" si="24"/>
        <v>7</v>
      </c>
      <c r="AO274">
        <f t="shared" si="25"/>
        <v>7</v>
      </c>
      <c r="AP274">
        <f t="shared" si="26"/>
        <v>7</v>
      </c>
      <c r="AQ274">
        <f t="shared" si="27"/>
        <v>7</v>
      </c>
      <c r="AR274">
        <f t="shared" si="28"/>
        <v>7</v>
      </c>
      <c r="AS274">
        <f t="shared" si="29"/>
        <v>7</v>
      </c>
      <c r="AT274">
        <f t="shared" si="30"/>
        <v>7</v>
      </c>
      <c r="AU274">
        <f t="shared" si="31"/>
        <v>7</v>
      </c>
      <c r="AV274">
        <f t="shared" si="32"/>
        <v>7</v>
      </c>
      <c r="AW274">
        <f t="shared" si="33"/>
        <v>7</v>
      </c>
      <c r="AX274">
        <f t="shared" si="34"/>
        <v>7</v>
      </c>
      <c r="AY274">
        <f t="shared" si="35"/>
        <v>7</v>
      </c>
    </row>
    <row r="275" spans="38:51" x14ac:dyDescent="0.25">
      <c r="AL275" s="19" t="s">
        <v>179</v>
      </c>
      <c r="AM275">
        <f t="shared" si="23"/>
        <v>7</v>
      </c>
      <c r="AN275">
        <f t="shared" si="24"/>
        <v>7</v>
      </c>
      <c r="AO275">
        <f t="shared" si="25"/>
        <v>7</v>
      </c>
      <c r="AP275">
        <f t="shared" si="26"/>
        <v>7</v>
      </c>
      <c r="AQ275">
        <f t="shared" si="27"/>
        <v>7</v>
      </c>
      <c r="AR275">
        <f t="shared" si="28"/>
        <v>7</v>
      </c>
      <c r="AS275">
        <f t="shared" si="29"/>
        <v>7</v>
      </c>
      <c r="AT275">
        <f t="shared" si="30"/>
        <v>7</v>
      </c>
      <c r="AU275">
        <f t="shared" si="31"/>
        <v>7</v>
      </c>
      <c r="AV275">
        <f t="shared" si="32"/>
        <v>7</v>
      </c>
      <c r="AW275">
        <f t="shared" si="33"/>
        <v>7</v>
      </c>
      <c r="AX275">
        <f t="shared" si="34"/>
        <v>7</v>
      </c>
      <c r="AY275">
        <f t="shared" si="35"/>
        <v>7</v>
      </c>
    </row>
    <row r="276" spans="38:51" x14ac:dyDescent="0.25">
      <c r="AL276" s="19" t="s">
        <v>180</v>
      </c>
      <c r="AM276">
        <f t="shared" si="23"/>
        <v>7</v>
      </c>
      <c r="AN276">
        <f t="shared" si="24"/>
        <v>7</v>
      </c>
      <c r="AO276">
        <f t="shared" si="25"/>
        <v>7</v>
      </c>
      <c r="AP276">
        <f t="shared" si="26"/>
        <v>7</v>
      </c>
      <c r="AQ276">
        <f t="shared" si="27"/>
        <v>7</v>
      </c>
      <c r="AR276">
        <f t="shared" si="28"/>
        <v>7</v>
      </c>
      <c r="AS276">
        <f t="shared" si="29"/>
        <v>7</v>
      </c>
      <c r="AT276">
        <f t="shared" si="30"/>
        <v>7</v>
      </c>
      <c r="AU276">
        <f t="shared" si="31"/>
        <v>7</v>
      </c>
      <c r="AV276">
        <f t="shared" si="32"/>
        <v>7</v>
      </c>
      <c r="AW276">
        <f t="shared" si="33"/>
        <v>7</v>
      </c>
      <c r="AX276">
        <f t="shared" si="34"/>
        <v>7</v>
      </c>
      <c r="AY276">
        <f t="shared" si="35"/>
        <v>7</v>
      </c>
    </row>
    <row r="277" spans="38:51" x14ac:dyDescent="0.25">
      <c r="AL277" s="19" t="s">
        <v>181</v>
      </c>
      <c r="AM277">
        <f t="shared" si="23"/>
        <v>7</v>
      </c>
      <c r="AN277">
        <f t="shared" si="24"/>
        <v>7</v>
      </c>
      <c r="AO277">
        <f t="shared" si="25"/>
        <v>7</v>
      </c>
      <c r="AP277">
        <f t="shared" si="26"/>
        <v>7</v>
      </c>
      <c r="AQ277">
        <f t="shared" si="27"/>
        <v>7</v>
      </c>
      <c r="AR277">
        <f t="shared" si="28"/>
        <v>7</v>
      </c>
      <c r="AS277">
        <f t="shared" si="29"/>
        <v>7</v>
      </c>
      <c r="AT277">
        <f t="shared" si="30"/>
        <v>7</v>
      </c>
      <c r="AU277">
        <f t="shared" si="31"/>
        <v>7</v>
      </c>
      <c r="AV277">
        <f t="shared" si="32"/>
        <v>7</v>
      </c>
      <c r="AW277">
        <f t="shared" si="33"/>
        <v>7</v>
      </c>
      <c r="AX277">
        <f t="shared" si="34"/>
        <v>7</v>
      </c>
      <c r="AY277">
        <f t="shared" si="35"/>
        <v>7</v>
      </c>
    </row>
    <row r="278" spans="38:51" x14ac:dyDescent="0.25">
      <c r="AL278" s="19" t="s">
        <v>182</v>
      </c>
      <c r="AM278">
        <f t="shared" si="23"/>
        <v>7</v>
      </c>
      <c r="AN278">
        <f t="shared" si="24"/>
        <v>7</v>
      </c>
      <c r="AO278">
        <f t="shared" si="25"/>
        <v>7</v>
      </c>
      <c r="AP278">
        <f t="shared" si="26"/>
        <v>7</v>
      </c>
      <c r="AQ278">
        <f t="shared" si="27"/>
        <v>7</v>
      </c>
      <c r="AR278">
        <f t="shared" si="28"/>
        <v>7</v>
      </c>
      <c r="AS278">
        <f t="shared" si="29"/>
        <v>7</v>
      </c>
      <c r="AT278">
        <f t="shared" si="30"/>
        <v>7</v>
      </c>
      <c r="AU278">
        <f t="shared" si="31"/>
        <v>7</v>
      </c>
      <c r="AV278">
        <f t="shared" si="32"/>
        <v>7</v>
      </c>
      <c r="AW278">
        <f t="shared" si="33"/>
        <v>7</v>
      </c>
      <c r="AX278">
        <f t="shared" si="34"/>
        <v>7</v>
      </c>
      <c r="AY278">
        <f t="shared" si="35"/>
        <v>7</v>
      </c>
    </row>
    <row r="279" spans="38:51" x14ac:dyDescent="0.25">
      <c r="AL279" s="19" t="s">
        <v>183</v>
      </c>
      <c r="AM279">
        <f t="shared" si="23"/>
        <v>7</v>
      </c>
      <c r="AN279">
        <f t="shared" si="24"/>
        <v>7</v>
      </c>
      <c r="AO279">
        <f t="shared" si="25"/>
        <v>7</v>
      </c>
      <c r="AP279">
        <f t="shared" si="26"/>
        <v>7</v>
      </c>
      <c r="AQ279">
        <f t="shared" si="27"/>
        <v>7</v>
      </c>
      <c r="AR279">
        <f t="shared" si="28"/>
        <v>7</v>
      </c>
      <c r="AS279">
        <f t="shared" si="29"/>
        <v>7</v>
      </c>
      <c r="AT279">
        <f t="shared" si="30"/>
        <v>7</v>
      </c>
      <c r="AU279">
        <f t="shared" si="31"/>
        <v>7</v>
      </c>
      <c r="AV279">
        <f t="shared" si="32"/>
        <v>6</v>
      </c>
      <c r="AW279">
        <f t="shared" si="33"/>
        <v>7</v>
      </c>
      <c r="AX279">
        <f t="shared" si="34"/>
        <v>7</v>
      </c>
      <c r="AY279">
        <f t="shared" si="35"/>
        <v>7</v>
      </c>
    </row>
    <row r="280" spans="38:51" x14ac:dyDescent="0.25">
      <c r="AL280" s="19" t="s">
        <v>184</v>
      </c>
      <c r="AM280">
        <f t="shared" ref="AM280:AM282" si="36">COUNTIF($AM137:$AS137,"&gt;=85%")</f>
        <v>7</v>
      </c>
      <c r="AN280">
        <f t="shared" ref="AN280:AN282" si="37">COUNTIF($AU137:$BA137,"&gt;=85%")</f>
        <v>7</v>
      </c>
      <c r="AO280">
        <f t="shared" ref="AO280:AO282" si="38">COUNTIF($BC137:$BI137,"&gt;=85%")</f>
        <v>7</v>
      </c>
      <c r="AP280">
        <f t="shared" ref="AP280:AP282" si="39">COUNTIF($BK137:$BQ137,"&gt;=85%")</f>
        <v>7</v>
      </c>
      <c r="AQ280">
        <f t="shared" ref="AQ280:AQ282" si="40">COUNTIF($BS137:$BY137,"&gt;=85%")</f>
        <v>7</v>
      </c>
      <c r="AR280">
        <f t="shared" ref="AR280:AR282" si="41">COUNTIF($CA137:$CG137,"&gt;=85%")</f>
        <v>7</v>
      </c>
      <c r="AS280">
        <f t="shared" ref="AS280:AS282" si="42">COUNTIF($CI137:$CO137,"&gt;=85%")</f>
        <v>7</v>
      </c>
      <c r="AT280">
        <f t="shared" ref="AT280:AT282" si="43">COUNTIF($CQ137:$CW137,"&gt;=85%")</f>
        <v>7</v>
      </c>
      <c r="AU280">
        <f t="shared" ref="AU280:AU281" si="44">COUNTIF($CY137:$DE137,"&gt;=92%")</f>
        <v>6</v>
      </c>
      <c r="AV280">
        <f t="shared" ref="AV280:AV282" si="45">COUNTIF($DG137:$DM137,"&gt;=85%")</f>
        <v>7</v>
      </c>
      <c r="AW280">
        <f t="shared" ref="AW280:AW282" si="46">COUNTIF($DO137:$DU137,"&gt;=85%")</f>
        <v>7</v>
      </c>
      <c r="AX280">
        <f t="shared" ref="AX280:AX282" si="47">COUNTIF($DW137:$EC137,"&gt;=85%")</f>
        <v>7</v>
      </c>
      <c r="AY280">
        <f t="shared" ref="AY280:AY282" si="48">COUNTIF($EE137:$EK137,"&gt;=85%")</f>
        <v>7</v>
      </c>
    </row>
    <row r="281" spans="38:51" x14ac:dyDescent="0.25">
      <c r="AL281" s="19" t="s">
        <v>185</v>
      </c>
      <c r="AM281">
        <f t="shared" si="36"/>
        <v>7</v>
      </c>
      <c r="AN281">
        <f t="shared" si="37"/>
        <v>7</v>
      </c>
      <c r="AO281">
        <f t="shared" si="38"/>
        <v>7</v>
      </c>
      <c r="AP281">
        <f t="shared" si="39"/>
        <v>5</v>
      </c>
      <c r="AQ281">
        <f t="shared" si="40"/>
        <v>7</v>
      </c>
      <c r="AR281">
        <f t="shared" si="41"/>
        <v>7</v>
      </c>
      <c r="AS281">
        <f t="shared" si="42"/>
        <v>7</v>
      </c>
      <c r="AT281">
        <f t="shared" si="43"/>
        <v>7</v>
      </c>
      <c r="AU281">
        <f t="shared" si="44"/>
        <v>5</v>
      </c>
      <c r="AV281">
        <f t="shared" si="45"/>
        <v>7</v>
      </c>
      <c r="AW281">
        <f t="shared" si="46"/>
        <v>7</v>
      </c>
      <c r="AX281">
        <f t="shared" si="47"/>
        <v>7</v>
      </c>
      <c r="AY281">
        <f t="shared" si="48"/>
        <v>7</v>
      </c>
    </row>
    <row r="282" spans="38:51" x14ac:dyDescent="0.25">
      <c r="AL282" s="19" t="s">
        <v>186</v>
      </c>
      <c r="AM282">
        <f t="shared" si="36"/>
        <v>7</v>
      </c>
      <c r="AN282">
        <f t="shared" si="37"/>
        <v>7</v>
      </c>
      <c r="AO282">
        <f t="shared" si="38"/>
        <v>7</v>
      </c>
      <c r="AP282">
        <f t="shared" si="39"/>
        <v>4</v>
      </c>
      <c r="AQ282">
        <f t="shared" si="40"/>
        <v>7</v>
      </c>
      <c r="AR282">
        <f t="shared" si="41"/>
        <v>7</v>
      </c>
      <c r="AS282">
        <f t="shared" si="42"/>
        <v>7</v>
      </c>
      <c r="AT282">
        <f t="shared" si="43"/>
        <v>7</v>
      </c>
      <c r="AU282">
        <f>COUNTIF($CY139:$DE139,"&gt;=92%")</f>
        <v>6</v>
      </c>
      <c r="AV282">
        <f t="shared" si="45"/>
        <v>7</v>
      </c>
      <c r="AW282">
        <f t="shared" si="46"/>
        <v>7</v>
      </c>
      <c r="AX282">
        <f t="shared" si="47"/>
        <v>7</v>
      </c>
      <c r="AY282">
        <f t="shared" si="48"/>
        <v>7</v>
      </c>
    </row>
    <row r="283" spans="38:51" x14ac:dyDescent="0.25">
      <c r="AL283" s="100"/>
    </row>
    <row r="284" spans="38:51" x14ac:dyDescent="0.25">
      <c r="AL284" s="19"/>
    </row>
    <row r="285" spans="38:51" x14ac:dyDescent="0.25">
      <c r="AL285" s="19"/>
    </row>
    <row r="286" spans="38:51" x14ac:dyDescent="0.25">
      <c r="AL286" s="19"/>
    </row>
    <row r="287" spans="38:51" x14ac:dyDescent="0.25">
      <c r="AL287" s="19"/>
    </row>
    <row r="289" spans="38:52" x14ac:dyDescent="0.25">
      <c r="AQ289" s="27"/>
    </row>
    <row r="290" spans="38:52" x14ac:dyDescent="0.25">
      <c r="AL290" s="16" t="s">
        <v>217</v>
      </c>
      <c r="AM290" s="27" t="s">
        <v>44</v>
      </c>
      <c r="AN290" s="27" t="s">
        <v>45</v>
      </c>
      <c r="AO290" s="27" t="s">
        <v>46</v>
      </c>
      <c r="AP290" s="27" t="s">
        <v>47</v>
      </c>
      <c r="AQ290" s="27" t="s">
        <v>48</v>
      </c>
      <c r="AR290" s="27" t="s">
        <v>49</v>
      </c>
      <c r="AS290" s="27" t="s">
        <v>50</v>
      </c>
      <c r="AT290" s="27" t="s">
        <v>51</v>
      </c>
      <c r="AU290" s="27" t="s">
        <v>52</v>
      </c>
      <c r="AV290" s="27" t="s">
        <v>53</v>
      </c>
      <c r="AW290" s="27" t="s">
        <v>54</v>
      </c>
      <c r="AX290" s="27" t="s">
        <v>55</v>
      </c>
      <c r="AY290" s="27" t="s">
        <v>56</v>
      </c>
      <c r="AZ290" s="27"/>
    </row>
    <row r="291" spans="38:52" x14ac:dyDescent="0.25">
      <c r="AL291" s="16" t="s">
        <v>36</v>
      </c>
      <c r="AM291" s="27">
        <f>IF((COUNTIF(AM292:AM425,"&gt;0"))=0, "", (COUNTIF(AM292:AM425,"&gt;0")))</f>
        <v>103</v>
      </c>
      <c r="AN291" s="27">
        <f t="shared" ref="AN291:AY291" si="49">IF((COUNTIF(AN292:AN425,"&gt;0"))=0, "", (COUNTIF(AN292:AN425,"&gt;0")))</f>
        <v>106</v>
      </c>
      <c r="AO291" s="27">
        <f t="shared" si="49"/>
        <v>103</v>
      </c>
      <c r="AP291" s="27">
        <f t="shared" si="49"/>
        <v>80</v>
      </c>
      <c r="AQ291" s="27">
        <f t="shared" si="49"/>
        <v>99</v>
      </c>
      <c r="AR291" s="27">
        <f t="shared" si="49"/>
        <v>111</v>
      </c>
      <c r="AS291" s="27">
        <f t="shared" si="49"/>
        <v>109</v>
      </c>
      <c r="AT291" s="27">
        <f t="shared" si="49"/>
        <v>94</v>
      </c>
      <c r="AU291" s="27">
        <f t="shared" si="49"/>
        <v>103</v>
      </c>
      <c r="AV291" s="27">
        <f t="shared" si="49"/>
        <v>98</v>
      </c>
      <c r="AW291" s="27">
        <f t="shared" si="49"/>
        <v>97</v>
      </c>
      <c r="AX291" s="27">
        <f t="shared" si="49"/>
        <v>92</v>
      </c>
      <c r="AY291" s="27">
        <f t="shared" si="49"/>
        <v>94</v>
      </c>
      <c r="AZ291" s="27" t="str">
        <f t="shared" ref="AZ291" si="50">IF(COUNTIF(AZ292:AZ425,"&gt;0")=0,"",COUNTIF(AZ292:AZ425,"&gt;0"))</f>
        <v/>
      </c>
    </row>
    <row r="292" spans="38:52" x14ac:dyDescent="0.25">
      <c r="AL292" s="19" t="s">
        <v>65</v>
      </c>
      <c r="AM292">
        <f>COUNTIF($AM8:$AS8,"&gt;=95%")</f>
        <v>7</v>
      </c>
      <c r="AN292">
        <f>COUNTIF($AU8:$BA8,"&gt;=95%")</f>
        <v>7</v>
      </c>
      <c r="AO292">
        <f>COUNTIF($BC8:$BI8,"&gt;=95%")</f>
        <v>7</v>
      </c>
      <c r="AP292">
        <f>COUNTIF($BK8:$BQ8,"&gt;=95%")</f>
        <v>7</v>
      </c>
      <c r="AQ292">
        <f>COUNTIF($BS8:$BY8,"&gt;=95%")</f>
        <v>7</v>
      </c>
      <c r="AR292">
        <f>COUNTIF($CA8:$CG8,"&gt;=95%")</f>
        <v>7</v>
      </c>
      <c r="AS292">
        <f>COUNTIF($CI8:$CO8,"&gt;=95%")</f>
        <v>7</v>
      </c>
      <c r="AT292">
        <f>COUNTIF($CQ8:$CW8,"&gt;=95%")</f>
        <v>7</v>
      </c>
      <c r="AU292">
        <f>COUNTIF($CY8:$DE8,"&gt;=95%")</f>
        <v>7</v>
      </c>
      <c r="AV292">
        <f>COUNTIF($DG8:$DM8,"&gt;=95%")</f>
        <v>5</v>
      </c>
      <c r="AW292">
        <f>COUNTIF($DO8:$DU8,"&gt;=95%")</f>
        <v>1</v>
      </c>
      <c r="AX292">
        <f>COUNTIF($DW8:$EC8,"&gt;=95%")</f>
        <v>4</v>
      </c>
      <c r="AY292">
        <f>COUNTIF($EE8:$EK8,"&gt;=95%")</f>
        <v>5</v>
      </c>
    </row>
    <row r="293" spans="38:52" x14ac:dyDescent="0.25">
      <c r="AL293" s="19" t="s">
        <v>66</v>
      </c>
      <c r="AM293">
        <f t="shared" ref="AM293:AM356" si="51">COUNTIF($AM9:$AS9,"&gt;=95%")</f>
        <v>0</v>
      </c>
      <c r="AN293">
        <f>COUNTIF($AU9:$BA9,"&gt;=95%")</f>
        <v>0</v>
      </c>
      <c r="AO293">
        <f t="shared" ref="AO293:AO356" si="52">COUNTIF($BC9:$BI9,"&gt;=95%")</f>
        <v>0</v>
      </c>
      <c r="AP293">
        <f t="shared" ref="AP293:AP356" si="53">COUNTIF($BK9:$BQ9,"&gt;=95%")</f>
        <v>0</v>
      </c>
      <c r="AQ293">
        <f t="shared" ref="AQ293:AQ356" si="54">COUNTIF($BS9:$BY9,"&gt;=95%")</f>
        <v>0</v>
      </c>
      <c r="AR293">
        <f t="shared" ref="AR293:AR356" si="55">COUNTIF($CA9:$CG9,"&gt;=95%")</f>
        <v>0</v>
      </c>
      <c r="AS293">
        <f t="shared" ref="AS293:AS356" si="56">COUNTIF($CI9:$CO9,"&gt;=95%")</f>
        <v>0</v>
      </c>
      <c r="AT293">
        <f t="shared" ref="AT293:AT356" si="57">COUNTIF($CQ9:$CW9,"&gt;=95%")</f>
        <v>0</v>
      </c>
      <c r="AU293">
        <f t="shared" ref="AU293:AU356" si="58">COUNTIF($CY9:$DE9,"&gt;=95%")</f>
        <v>0</v>
      </c>
      <c r="AV293">
        <f t="shared" ref="AV293:AV356" si="59">COUNTIF($DG9:$DM9,"&gt;=95%")</f>
        <v>0</v>
      </c>
      <c r="AW293">
        <f t="shared" ref="AW293:AW356" si="60">COUNTIF($DO9:$DU9,"&gt;=95%")</f>
        <v>0</v>
      </c>
      <c r="AX293">
        <f t="shared" ref="AX293:AX356" si="61">COUNTIF($DW9:$EC9,"&gt;=95%")</f>
        <v>0</v>
      </c>
      <c r="AY293">
        <f t="shared" ref="AY293:AY356" si="62">COUNTIF($EE9:$EK9,"&gt;=95%")</f>
        <v>0</v>
      </c>
    </row>
    <row r="294" spans="38:52" x14ac:dyDescent="0.25">
      <c r="AL294" s="19" t="s">
        <v>67</v>
      </c>
      <c r="AM294">
        <f t="shared" si="51"/>
        <v>7</v>
      </c>
      <c r="AN294">
        <f t="shared" ref="AN294:AN356" si="63">COUNTIF($AU10:$BA10,"&gt;=95%")</f>
        <v>7</v>
      </c>
      <c r="AO294">
        <f t="shared" si="52"/>
        <v>7</v>
      </c>
      <c r="AP294">
        <f t="shared" si="53"/>
        <v>5</v>
      </c>
      <c r="AQ294">
        <f t="shared" si="54"/>
        <v>7</v>
      </c>
      <c r="AR294">
        <f t="shared" si="55"/>
        <v>7</v>
      </c>
      <c r="AS294">
        <f t="shared" si="56"/>
        <v>7</v>
      </c>
      <c r="AT294">
        <f t="shared" si="57"/>
        <v>7</v>
      </c>
      <c r="AU294">
        <f t="shared" si="58"/>
        <v>7</v>
      </c>
      <c r="AV294">
        <f t="shared" si="59"/>
        <v>7</v>
      </c>
      <c r="AW294">
        <f t="shared" si="60"/>
        <v>7</v>
      </c>
      <c r="AX294">
        <f t="shared" si="61"/>
        <v>7</v>
      </c>
      <c r="AY294">
        <f t="shared" si="62"/>
        <v>7</v>
      </c>
    </row>
    <row r="295" spans="38:52" x14ac:dyDescent="0.25">
      <c r="AL295" s="19" t="s">
        <v>68</v>
      </c>
      <c r="AM295">
        <f t="shared" si="51"/>
        <v>7</v>
      </c>
      <c r="AN295">
        <f t="shared" si="63"/>
        <v>7</v>
      </c>
      <c r="AO295">
        <f t="shared" si="52"/>
        <v>7</v>
      </c>
      <c r="AP295">
        <f t="shared" si="53"/>
        <v>3</v>
      </c>
      <c r="AQ295">
        <f t="shared" si="54"/>
        <v>7</v>
      </c>
      <c r="AR295">
        <f t="shared" si="55"/>
        <v>7</v>
      </c>
      <c r="AS295">
        <f t="shared" si="56"/>
        <v>7</v>
      </c>
      <c r="AT295">
        <f t="shared" si="57"/>
        <v>6</v>
      </c>
      <c r="AU295">
        <f t="shared" si="58"/>
        <v>7</v>
      </c>
      <c r="AV295">
        <f t="shared" si="59"/>
        <v>4</v>
      </c>
      <c r="AW295">
        <f t="shared" si="60"/>
        <v>4</v>
      </c>
      <c r="AX295">
        <f t="shared" si="61"/>
        <v>3</v>
      </c>
      <c r="AY295">
        <f t="shared" si="62"/>
        <v>6</v>
      </c>
    </row>
    <row r="296" spans="38:52" x14ac:dyDescent="0.25">
      <c r="AL296" s="19" t="s">
        <v>69</v>
      </c>
      <c r="AM296">
        <f t="shared" si="51"/>
        <v>6</v>
      </c>
      <c r="AN296">
        <f t="shared" si="63"/>
        <v>4</v>
      </c>
      <c r="AO296">
        <f t="shared" si="52"/>
        <v>7</v>
      </c>
      <c r="AP296">
        <f t="shared" si="53"/>
        <v>5</v>
      </c>
      <c r="AQ296">
        <f t="shared" si="54"/>
        <v>7</v>
      </c>
      <c r="AR296">
        <f t="shared" si="55"/>
        <v>5</v>
      </c>
      <c r="AS296">
        <f t="shared" si="56"/>
        <v>3</v>
      </c>
      <c r="AT296">
        <f t="shared" si="57"/>
        <v>2</v>
      </c>
      <c r="AU296">
        <f t="shared" si="58"/>
        <v>6</v>
      </c>
      <c r="AV296">
        <f t="shared" si="59"/>
        <v>1</v>
      </c>
      <c r="AW296">
        <f t="shared" si="60"/>
        <v>4</v>
      </c>
      <c r="AX296">
        <f t="shared" si="61"/>
        <v>3</v>
      </c>
      <c r="AY296">
        <f t="shared" si="62"/>
        <v>1</v>
      </c>
    </row>
    <row r="297" spans="38:52" x14ac:dyDescent="0.25">
      <c r="AL297" s="19" t="s">
        <v>70</v>
      </c>
      <c r="AM297">
        <f t="shared" si="51"/>
        <v>7</v>
      </c>
      <c r="AN297">
        <f>COUNTIF($AU13:$BA13,"&gt;=95%")</f>
        <v>7</v>
      </c>
      <c r="AO297">
        <f t="shared" si="52"/>
        <v>6</v>
      </c>
      <c r="AP297">
        <f t="shared" si="53"/>
        <v>0</v>
      </c>
      <c r="AQ297">
        <f t="shared" si="54"/>
        <v>4</v>
      </c>
      <c r="AR297">
        <f t="shared" si="55"/>
        <v>7</v>
      </c>
      <c r="AS297">
        <f t="shared" si="56"/>
        <v>7</v>
      </c>
      <c r="AT297">
        <f t="shared" si="57"/>
        <v>7</v>
      </c>
      <c r="AU297">
        <f t="shared" si="58"/>
        <v>7</v>
      </c>
      <c r="AV297">
        <f t="shared" si="59"/>
        <v>5</v>
      </c>
      <c r="AW297">
        <f t="shared" si="60"/>
        <v>6</v>
      </c>
      <c r="AX297">
        <f t="shared" si="61"/>
        <v>5</v>
      </c>
      <c r="AY297">
        <f t="shared" si="62"/>
        <v>4</v>
      </c>
    </row>
    <row r="298" spans="38:52" x14ac:dyDescent="0.25">
      <c r="AL298" s="19" t="s">
        <v>71</v>
      </c>
      <c r="AM298">
        <f t="shared" si="51"/>
        <v>7</v>
      </c>
      <c r="AN298">
        <f t="shared" si="63"/>
        <v>5</v>
      </c>
      <c r="AO298">
        <f t="shared" si="52"/>
        <v>3</v>
      </c>
      <c r="AP298">
        <f t="shared" si="53"/>
        <v>1</v>
      </c>
      <c r="AQ298">
        <f t="shared" si="54"/>
        <v>5</v>
      </c>
      <c r="AR298">
        <f t="shared" si="55"/>
        <v>7</v>
      </c>
      <c r="AS298">
        <f t="shared" si="56"/>
        <v>7</v>
      </c>
      <c r="AT298">
        <f t="shared" si="57"/>
        <v>7</v>
      </c>
      <c r="AU298">
        <f t="shared" si="58"/>
        <v>7</v>
      </c>
      <c r="AV298">
        <f t="shared" si="59"/>
        <v>2</v>
      </c>
      <c r="AW298">
        <f t="shared" si="60"/>
        <v>3</v>
      </c>
      <c r="AX298">
        <f t="shared" si="61"/>
        <v>3</v>
      </c>
      <c r="AY298">
        <f t="shared" si="62"/>
        <v>2</v>
      </c>
    </row>
    <row r="299" spans="38:52" x14ac:dyDescent="0.25">
      <c r="AL299" s="19" t="s">
        <v>72</v>
      </c>
      <c r="AM299">
        <f t="shared" si="51"/>
        <v>5</v>
      </c>
      <c r="AN299">
        <f t="shared" si="63"/>
        <v>7</v>
      </c>
      <c r="AO299">
        <f t="shared" si="52"/>
        <v>6</v>
      </c>
      <c r="AP299">
        <f t="shared" si="53"/>
        <v>6</v>
      </c>
      <c r="AQ299">
        <f t="shared" si="54"/>
        <v>7</v>
      </c>
      <c r="AR299">
        <f t="shared" si="55"/>
        <v>7</v>
      </c>
      <c r="AS299">
        <f t="shared" si="56"/>
        <v>7</v>
      </c>
      <c r="AT299">
        <f t="shared" si="57"/>
        <v>7</v>
      </c>
      <c r="AU299">
        <f t="shared" si="58"/>
        <v>7</v>
      </c>
      <c r="AV299">
        <f t="shared" si="59"/>
        <v>7</v>
      </c>
      <c r="AW299">
        <f t="shared" si="60"/>
        <v>7</v>
      </c>
      <c r="AX299">
        <f t="shared" si="61"/>
        <v>6</v>
      </c>
      <c r="AY299">
        <f t="shared" si="62"/>
        <v>7</v>
      </c>
    </row>
    <row r="300" spans="38:52" x14ac:dyDescent="0.25">
      <c r="AL300" s="19" t="s">
        <v>73</v>
      </c>
      <c r="AM300">
        <f t="shared" si="51"/>
        <v>0</v>
      </c>
      <c r="AN300">
        <f t="shared" si="63"/>
        <v>0</v>
      </c>
      <c r="AO300">
        <f t="shared" si="52"/>
        <v>0</v>
      </c>
      <c r="AP300">
        <f t="shared" si="53"/>
        <v>0</v>
      </c>
      <c r="AQ300">
        <f t="shared" si="54"/>
        <v>0</v>
      </c>
      <c r="AR300">
        <f t="shared" si="55"/>
        <v>1</v>
      </c>
      <c r="AS300">
        <f t="shared" si="56"/>
        <v>0</v>
      </c>
      <c r="AT300">
        <f t="shared" si="57"/>
        <v>0</v>
      </c>
      <c r="AU300">
        <f t="shared" si="58"/>
        <v>0</v>
      </c>
      <c r="AV300">
        <f t="shared" si="59"/>
        <v>0</v>
      </c>
      <c r="AW300">
        <f t="shared" si="60"/>
        <v>0</v>
      </c>
      <c r="AX300">
        <f t="shared" si="61"/>
        <v>0</v>
      </c>
      <c r="AY300">
        <f t="shared" si="62"/>
        <v>0</v>
      </c>
    </row>
    <row r="301" spans="38:52" x14ac:dyDescent="0.25">
      <c r="AL301" s="19" t="s">
        <v>74</v>
      </c>
      <c r="AM301">
        <f t="shared" si="51"/>
        <v>7</v>
      </c>
      <c r="AN301">
        <f t="shared" si="63"/>
        <v>7</v>
      </c>
      <c r="AO301">
        <f t="shared" si="52"/>
        <v>6</v>
      </c>
      <c r="AP301">
        <f t="shared" si="53"/>
        <v>4</v>
      </c>
      <c r="AQ301">
        <f t="shared" si="54"/>
        <v>7</v>
      </c>
      <c r="AR301">
        <f t="shared" si="55"/>
        <v>7</v>
      </c>
      <c r="AS301">
        <f t="shared" si="56"/>
        <v>7</v>
      </c>
      <c r="AT301">
        <f t="shared" si="57"/>
        <v>6</v>
      </c>
      <c r="AU301">
        <f t="shared" si="58"/>
        <v>7</v>
      </c>
      <c r="AV301">
        <f t="shared" si="59"/>
        <v>7</v>
      </c>
      <c r="AW301">
        <f t="shared" si="60"/>
        <v>5</v>
      </c>
      <c r="AX301">
        <f t="shared" si="61"/>
        <v>4</v>
      </c>
      <c r="AY301">
        <f t="shared" si="62"/>
        <v>4</v>
      </c>
    </row>
    <row r="302" spans="38:52" x14ac:dyDescent="0.25">
      <c r="AL302" s="19" t="s">
        <v>75</v>
      </c>
      <c r="AM302">
        <f t="shared" si="51"/>
        <v>4</v>
      </c>
      <c r="AN302">
        <f t="shared" si="63"/>
        <v>2</v>
      </c>
      <c r="AO302">
        <f t="shared" si="52"/>
        <v>4</v>
      </c>
      <c r="AP302">
        <f t="shared" si="53"/>
        <v>1</v>
      </c>
      <c r="AQ302">
        <f t="shared" si="54"/>
        <v>1</v>
      </c>
      <c r="AR302">
        <f t="shared" si="55"/>
        <v>6</v>
      </c>
      <c r="AS302">
        <f t="shared" si="56"/>
        <v>1</v>
      </c>
      <c r="AT302">
        <f t="shared" si="57"/>
        <v>1</v>
      </c>
      <c r="AU302">
        <f t="shared" si="58"/>
        <v>2</v>
      </c>
      <c r="AV302">
        <f t="shared" si="59"/>
        <v>2</v>
      </c>
      <c r="AW302">
        <f t="shared" si="60"/>
        <v>1</v>
      </c>
      <c r="AX302">
        <f t="shared" si="61"/>
        <v>1</v>
      </c>
      <c r="AY302">
        <f t="shared" si="62"/>
        <v>2</v>
      </c>
    </row>
    <row r="303" spans="38:52" x14ac:dyDescent="0.25">
      <c r="AL303" s="19" t="s">
        <v>76</v>
      </c>
      <c r="AM303">
        <f t="shared" si="51"/>
        <v>7</v>
      </c>
      <c r="AN303">
        <f t="shared" si="63"/>
        <v>7</v>
      </c>
      <c r="AO303">
        <f t="shared" si="52"/>
        <v>5</v>
      </c>
      <c r="AP303">
        <f t="shared" si="53"/>
        <v>3</v>
      </c>
      <c r="AQ303">
        <f t="shared" si="54"/>
        <v>7</v>
      </c>
      <c r="AR303">
        <f t="shared" si="55"/>
        <v>7</v>
      </c>
      <c r="AS303">
        <f t="shared" si="56"/>
        <v>7</v>
      </c>
      <c r="AT303">
        <f t="shared" si="57"/>
        <v>6</v>
      </c>
      <c r="AU303">
        <f t="shared" si="58"/>
        <v>7</v>
      </c>
      <c r="AV303">
        <f t="shared" si="59"/>
        <v>3</v>
      </c>
      <c r="AW303">
        <f t="shared" si="60"/>
        <v>4</v>
      </c>
      <c r="AX303">
        <f t="shared" si="61"/>
        <v>2</v>
      </c>
      <c r="AY303">
        <f t="shared" si="62"/>
        <v>7</v>
      </c>
    </row>
    <row r="304" spans="38:52" x14ac:dyDescent="0.25">
      <c r="AL304" s="19" t="s">
        <v>77</v>
      </c>
      <c r="AM304">
        <f t="shared" si="51"/>
        <v>7</v>
      </c>
      <c r="AN304">
        <f t="shared" si="63"/>
        <v>7</v>
      </c>
      <c r="AO304">
        <f t="shared" si="52"/>
        <v>7</v>
      </c>
      <c r="AP304">
        <f t="shared" si="53"/>
        <v>4</v>
      </c>
      <c r="AQ304">
        <f t="shared" si="54"/>
        <v>7</v>
      </c>
      <c r="AR304">
        <f t="shared" si="55"/>
        <v>7</v>
      </c>
      <c r="AS304">
        <f t="shared" si="56"/>
        <v>7</v>
      </c>
      <c r="AT304">
        <f t="shared" si="57"/>
        <v>7</v>
      </c>
      <c r="AU304">
        <f t="shared" si="58"/>
        <v>7</v>
      </c>
      <c r="AV304">
        <f t="shared" si="59"/>
        <v>7</v>
      </c>
      <c r="AW304">
        <f t="shared" si="60"/>
        <v>6</v>
      </c>
      <c r="AX304">
        <f t="shared" si="61"/>
        <v>7</v>
      </c>
      <c r="AY304">
        <f t="shared" si="62"/>
        <v>6</v>
      </c>
    </row>
    <row r="305" spans="38:51" x14ac:dyDescent="0.25">
      <c r="AL305" s="19" t="s">
        <v>78</v>
      </c>
      <c r="AM305">
        <f t="shared" si="51"/>
        <v>4</v>
      </c>
      <c r="AN305">
        <f t="shared" si="63"/>
        <v>6</v>
      </c>
      <c r="AO305">
        <f t="shared" si="52"/>
        <v>4</v>
      </c>
      <c r="AP305">
        <f t="shared" si="53"/>
        <v>2</v>
      </c>
      <c r="AQ305">
        <f t="shared" si="54"/>
        <v>7</v>
      </c>
      <c r="AR305">
        <f t="shared" si="55"/>
        <v>7</v>
      </c>
      <c r="AS305">
        <f t="shared" si="56"/>
        <v>5</v>
      </c>
      <c r="AT305">
        <f t="shared" si="57"/>
        <v>5</v>
      </c>
      <c r="AU305">
        <f t="shared" si="58"/>
        <v>5</v>
      </c>
      <c r="AV305">
        <f t="shared" si="59"/>
        <v>4</v>
      </c>
      <c r="AW305">
        <f t="shared" si="60"/>
        <v>5</v>
      </c>
      <c r="AX305">
        <f t="shared" si="61"/>
        <v>5</v>
      </c>
      <c r="AY305">
        <f t="shared" si="62"/>
        <v>6</v>
      </c>
    </row>
    <row r="306" spans="38:51" x14ac:dyDescent="0.25">
      <c r="AL306" s="19" t="s">
        <v>79</v>
      </c>
      <c r="AM306">
        <f t="shared" si="51"/>
        <v>0</v>
      </c>
      <c r="AN306">
        <f t="shared" si="63"/>
        <v>3</v>
      </c>
      <c r="AO306">
        <f t="shared" si="52"/>
        <v>2</v>
      </c>
      <c r="AP306">
        <f t="shared" si="53"/>
        <v>0</v>
      </c>
      <c r="AQ306">
        <f t="shared" si="54"/>
        <v>3</v>
      </c>
      <c r="AR306">
        <f t="shared" si="55"/>
        <v>5</v>
      </c>
      <c r="AS306">
        <f t="shared" si="56"/>
        <v>0</v>
      </c>
      <c r="AT306">
        <f t="shared" si="57"/>
        <v>0</v>
      </c>
      <c r="AU306">
        <f t="shared" si="58"/>
        <v>0</v>
      </c>
      <c r="AV306">
        <f t="shared" si="59"/>
        <v>0</v>
      </c>
      <c r="AW306">
        <f t="shared" si="60"/>
        <v>0</v>
      </c>
      <c r="AX306">
        <f t="shared" si="61"/>
        <v>1</v>
      </c>
      <c r="AY306">
        <f t="shared" si="62"/>
        <v>1</v>
      </c>
    </row>
    <row r="307" spans="38:51" x14ac:dyDescent="0.25">
      <c r="AL307" s="19" t="s">
        <v>80</v>
      </c>
      <c r="AM307">
        <f t="shared" si="51"/>
        <v>0</v>
      </c>
      <c r="AN307">
        <f t="shared" si="63"/>
        <v>1</v>
      </c>
      <c r="AO307">
        <f t="shared" si="52"/>
        <v>1</v>
      </c>
      <c r="AP307">
        <f t="shared" si="53"/>
        <v>0</v>
      </c>
      <c r="AQ307">
        <f t="shared" si="54"/>
        <v>1</v>
      </c>
      <c r="AR307">
        <f t="shared" si="55"/>
        <v>6</v>
      </c>
      <c r="AS307">
        <f t="shared" si="56"/>
        <v>3</v>
      </c>
      <c r="AT307">
        <f t="shared" si="57"/>
        <v>0</v>
      </c>
      <c r="AU307">
        <f t="shared" si="58"/>
        <v>1</v>
      </c>
      <c r="AV307">
        <f t="shared" si="59"/>
        <v>0</v>
      </c>
      <c r="AW307">
        <f t="shared" si="60"/>
        <v>0</v>
      </c>
      <c r="AX307">
        <f t="shared" si="61"/>
        <v>0</v>
      </c>
      <c r="AY307">
        <f t="shared" si="62"/>
        <v>1</v>
      </c>
    </row>
    <row r="308" spans="38:51" x14ac:dyDescent="0.25">
      <c r="AL308" s="19" t="s">
        <v>81</v>
      </c>
      <c r="AM308">
        <f t="shared" si="51"/>
        <v>7</v>
      </c>
      <c r="AN308">
        <f t="shared" si="63"/>
        <v>5</v>
      </c>
      <c r="AO308">
        <f t="shared" si="52"/>
        <v>7</v>
      </c>
      <c r="AP308">
        <f t="shared" si="53"/>
        <v>5</v>
      </c>
      <c r="AQ308">
        <f t="shared" si="54"/>
        <v>7</v>
      </c>
      <c r="AR308">
        <f t="shared" si="55"/>
        <v>7</v>
      </c>
      <c r="AS308">
        <f t="shared" si="56"/>
        <v>6</v>
      </c>
      <c r="AT308">
        <f t="shared" si="57"/>
        <v>3</v>
      </c>
      <c r="AU308">
        <f t="shared" si="58"/>
        <v>7</v>
      </c>
      <c r="AV308">
        <f t="shared" si="59"/>
        <v>7</v>
      </c>
      <c r="AW308">
        <f t="shared" si="60"/>
        <v>7</v>
      </c>
      <c r="AX308">
        <f t="shared" si="61"/>
        <v>5</v>
      </c>
      <c r="AY308">
        <f t="shared" si="62"/>
        <v>4</v>
      </c>
    </row>
    <row r="309" spans="38:51" x14ac:dyDescent="0.25">
      <c r="AL309" s="19" t="s">
        <v>82</v>
      </c>
      <c r="AM309">
        <f t="shared" si="51"/>
        <v>6</v>
      </c>
      <c r="AN309">
        <f t="shared" si="63"/>
        <v>7</v>
      </c>
      <c r="AO309">
        <f t="shared" si="52"/>
        <v>4</v>
      </c>
      <c r="AP309">
        <f t="shared" si="53"/>
        <v>3</v>
      </c>
      <c r="AQ309">
        <f t="shared" si="54"/>
        <v>6</v>
      </c>
      <c r="AR309">
        <f t="shared" si="55"/>
        <v>7</v>
      </c>
      <c r="AS309">
        <f t="shared" si="56"/>
        <v>7</v>
      </c>
      <c r="AT309">
        <f t="shared" si="57"/>
        <v>3</v>
      </c>
      <c r="AU309">
        <f t="shared" si="58"/>
        <v>5</v>
      </c>
      <c r="AV309">
        <f t="shared" si="59"/>
        <v>6</v>
      </c>
      <c r="AW309">
        <f t="shared" si="60"/>
        <v>2</v>
      </c>
      <c r="AX309">
        <f t="shared" si="61"/>
        <v>0</v>
      </c>
      <c r="AY309">
        <f t="shared" si="62"/>
        <v>4</v>
      </c>
    </row>
    <row r="310" spans="38:51" x14ac:dyDescent="0.25">
      <c r="AL310" s="19" t="s">
        <v>83</v>
      </c>
      <c r="AM310">
        <f t="shared" si="51"/>
        <v>6</v>
      </c>
      <c r="AN310">
        <f t="shared" si="63"/>
        <v>6</v>
      </c>
      <c r="AO310">
        <f t="shared" si="52"/>
        <v>6</v>
      </c>
      <c r="AP310">
        <f t="shared" si="53"/>
        <v>5</v>
      </c>
      <c r="AQ310">
        <f t="shared" si="54"/>
        <v>7</v>
      </c>
      <c r="AR310">
        <f t="shared" si="55"/>
        <v>7</v>
      </c>
      <c r="AS310">
        <f t="shared" si="56"/>
        <v>6</v>
      </c>
      <c r="AT310">
        <f t="shared" si="57"/>
        <v>7</v>
      </c>
      <c r="AU310">
        <f t="shared" si="58"/>
        <v>5</v>
      </c>
      <c r="AV310">
        <f t="shared" si="59"/>
        <v>6</v>
      </c>
      <c r="AW310">
        <f t="shared" si="60"/>
        <v>7</v>
      </c>
      <c r="AX310">
        <f t="shared" si="61"/>
        <v>5</v>
      </c>
      <c r="AY310">
        <f t="shared" si="62"/>
        <v>2</v>
      </c>
    </row>
    <row r="311" spans="38:51" x14ac:dyDescent="0.25">
      <c r="AL311" s="19" t="s">
        <v>84</v>
      </c>
      <c r="AM311">
        <f t="shared" si="51"/>
        <v>0</v>
      </c>
      <c r="AN311">
        <f t="shared" si="63"/>
        <v>0</v>
      </c>
      <c r="AO311">
        <f t="shared" si="52"/>
        <v>0</v>
      </c>
      <c r="AP311">
        <f t="shared" si="53"/>
        <v>0</v>
      </c>
      <c r="AQ311">
        <f t="shared" si="54"/>
        <v>0</v>
      </c>
      <c r="AR311">
        <f t="shared" si="55"/>
        <v>2</v>
      </c>
      <c r="AS311">
        <f t="shared" si="56"/>
        <v>0</v>
      </c>
      <c r="AT311">
        <f t="shared" si="57"/>
        <v>0</v>
      </c>
      <c r="AU311">
        <f t="shared" si="58"/>
        <v>0</v>
      </c>
      <c r="AV311">
        <f t="shared" si="59"/>
        <v>0</v>
      </c>
      <c r="AW311">
        <f t="shared" si="60"/>
        <v>0</v>
      </c>
      <c r="AX311">
        <f t="shared" si="61"/>
        <v>0</v>
      </c>
      <c r="AY311">
        <f t="shared" si="62"/>
        <v>0</v>
      </c>
    </row>
    <row r="312" spans="38:51" x14ac:dyDescent="0.25">
      <c r="AL312" s="19" t="s">
        <v>85</v>
      </c>
      <c r="AM312">
        <f t="shared" si="51"/>
        <v>7</v>
      </c>
      <c r="AN312">
        <f t="shared" si="63"/>
        <v>7</v>
      </c>
      <c r="AO312">
        <f t="shared" si="52"/>
        <v>7</v>
      </c>
      <c r="AP312">
        <f t="shared" si="53"/>
        <v>5</v>
      </c>
      <c r="AQ312">
        <f t="shared" si="54"/>
        <v>7</v>
      </c>
      <c r="AR312">
        <f t="shared" si="55"/>
        <v>7</v>
      </c>
      <c r="AS312">
        <f t="shared" si="56"/>
        <v>7</v>
      </c>
      <c r="AT312">
        <f t="shared" si="57"/>
        <v>7</v>
      </c>
      <c r="AU312">
        <f t="shared" si="58"/>
        <v>7</v>
      </c>
      <c r="AV312">
        <f t="shared" si="59"/>
        <v>7</v>
      </c>
      <c r="AW312">
        <f t="shared" si="60"/>
        <v>7</v>
      </c>
      <c r="AX312">
        <f t="shared" si="61"/>
        <v>7</v>
      </c>
      <c r="AY312">
        <f t="shared" si="62"/>
        <v>6</v>
      </c>
    </row>
    <row r="313" spans="38:51" x14ac:dyDescent="0.25">
      <c r="AL313" s="19" t="s">
        <v>86</v>
      </c>
      <c r="AM313">
        <f t="shared" si="51"/>
        <v>5</v>
      </c>
      <c r="AN313">
        <f t="shared" si="63"/>
        <v>3</v>
      </c>
      <c r="AO313">
        <f t="shared" si="52"/>
        <v>2</v>
      </c>
      <c r="AP313">
        <f t="shared" si="53"/>
        <v>0</v>
      </c>
      <c r="AQ313">
        <f t="shared" si="54"/>
        <v>0</v>
      </c>
      <c r="AR313">
        <f t="shared" si="55"/>
        <v>4</v>
      </c>
      <c r="AS313">
        <f t="shared" si="56"/>
        <v>5</v>
      </c>
      <c r="AT313">
        <f t="shared" si="57"/>
        <v>6</v>
      </c>
      <c r="AU313">
        <f t="shared" si="58"/>
        <v>5</v>
      </c>
      <c r="AV313">
        <f t="shared" si="59"/>
        <v>4</v>
      </c>
      <c r="AW313">
        <f t="shared" si="60"/>
        <v>1</v>
      </c>
      <c r="AX313">
        <f t="shared" si="61"/>
        <v>1</v>
      </c>
      <c r="AY313">
        <f t="shared" si="62"/>
        <v>2</v>
      </c>
    </row>
    <row r="314" spans="38:51" x14ac:dyDescent="0.25">
      <c r="AL314" s="19" t="s">
        <v>87</v>
      </c>
      <c r="AM314">
        <f t="shared" si="51"/>
        <v>5</v>
      </c>
      <c r="AN314">
        <f t="shared" si="63"/>
        <v>3</v>
      </c>
      <c r="AO314">
        <f t="shared" si="52"/>
        <v>2</v>
      </c>
      <c r="AP314">
        <f t="shared" si="53"/>
        <v>0</v>
      </c>
      <c r="AQ314">
        <f t="shared" si="54"/>
        <v>0</v>
      </c>
      <c r="AR314">
        <f t="shared" si="55"/>
        <v>2</v>
      </c>
      <c r="AS314">
        <f t="shared" si="56"/>
        <v>1</v>
      </c>
      <c r="AT314">
        <f t="shared" si="57"/>
        <v>0</v>
      </c>
      <c r="AU314">
        <f t="shared" si="58"/>
        <v>2</v>
      </c>
      <c r="AV314">
        <f t="shared" si="59"/>
        <v>0</v>
      </c>
      <c r="AW314">
        <f t="shared" si="60"/>
        <v>0</v>
      </c>
      <c r="AX314">
        <f t="shared" si="61"/>
        <v>1</v>
      </c>
      <c r="AY314">
        <f t="shared" si="62"/>
        <v>0</v>
      </c>
    </row>
    <row r="315" spans="38:51" x14ac:dyDescent="0.25">
      <c r="AL315" s="19" t="s">
        <v>88</v>
      </c>
      <c r="AM315">
        <f t="shared" si="51"/>
        <v>2</v>
      </c>
      <c r="AN315">
        <f t="shared" si="63"/>
        <v>5</v>
      </c>
      <c r="AO315">
        <f t="shared" si="52"/>
        <v>3</v>
      </c>
      <c r="AP315">
        <f t="shared" si="53"/>
        <v>1</v>
      </c>
      <c r="AQ315">
        <f t="shared" si="54"/>
        <v>4</v>
      </c>
      <c r="AR315">
        <f t="shared" si="55"/>
        <v>1</v>
      </c>
      <c r="AS315">
        <f t="shared" si="56"/>
        <v>0</v>
      </c>
      <c r="AT315">
        <f t="shared" si="57"/>
        <v>1</v>
      </c>
      <c r="AU315">
        <f t="shared" si="58"/>
        <v>3</v>
      </c>
      <c r="AV315">
        <f t="shared" si="59"/>
        <v>1</v>
      </c>
      <c r="AW315">
        <f t="shared" si="60"/>
        <v>5</v>
      </c>
      <c r="AX315">
        <f t="shared" si="61"/>
        <v>0</v>
      </c>
      <c r="AY315">
        <f t="shared" si="62"/>
        <v>4</v>
      </c>
    </row>
    <row r="316" spans="38:51" x14ac:dyDescent="0.25">
      <c r="AL316" s="19" t="s">
        <v>89</v>
      </c>
      <c r="AM316">
        <f t="shared" si="51"/>
        <v>7</v>
      </c>
      <c r="AN316">
        <f t="shared" si="63"/>
        <v>7</v>
      </c>
      <c r="AO316">
        <f t="shared" si="52"/>
        <v>5</v>
      </c>
      <c r="AP316">
        <f t="shared" si="53"/>
        <v>4</v>
      </c>
      <c r="AQ316">
        <f t="shared" si="54"/>
        <v>7</v>
      </c>
      <c r="AR316">
        <f t="shared" si="55"/>
        <v>6</v>
      </c>
      <c r="AS316">
        <f t="shared" si="56"/>
        <v>6</v>
      </c>
      <c r="AT316">
        <f t="shared" si="57"/>
        <v>6</v>
      </c>
      <c r="AU316">
        <f t="shared" si="58"/>
        <v>7</v>
      </c>
      <c r="AV316">
        <f t="shared" si="59"/>
        <v>7</v>
      </c>
      <c r="AW316">
        <f t="shared" si="60"/>
        <v>7</v>
      </c>
      <c r="AX316">
        <f t="shared" si="61"/>
        <v>2</v>
      </c>
      <c r="AY316">
        <f t="shared" si="62"/>
        <v>7</v>
      </c>
    </row>
    <row r="317" spans="38:51" x14ac:dyDescent="0.25">
      <c r="AL317" s="19" t="s">
        <v>90</v>
      </c>
      <c r="AM317">
        <f t="shared" si="51"/>
        <v>7</v>
      </c>
      <c r="AN317">
        <f t="shared" si="63"/>
        <v>7</v>
      </c>
      <c r="AO317">
        <f t="shared" si="52"/>
        <v>7</v>
      </c>
      <c r="AP317">
        <f t="shared" si="53"/>
        <v>4</v>
      </c>
      <c r="AQ317">
        <f t="shared" si="54"/>
        <v>7</v>
      </c>
      <c r="AR317">
        <f t="shared" si="55"/>
        <v>7</v>
      </c>
      <c r="AS317">
        <f t="shared" si="56"/>
        <v>6</v>
      </c>
      <c r="AT317">
        <f t="shared" si="57"/>
        <v>7</v>
      </c>
      <c r="AU317">
        <f t="shared" si="58"/>
        <v>7</v>
      </c>
      <c r="AV317">
        <f t="shared" si="59"/>
        <v>7</v>
      </c>
      <c r="AW317">
        <f t="shared" si="60"/>
        <v>7</v>
      </c>
      <c r="AX317">
        <f t="shared" si="61"/>
        <v>7</v>
      </c>
      <c r="AY317">
        <f t="shared" si="62"/>
        <v>6</v>
      </c>
    </row>
    <row r="318" spans="38:51" x14ac:dyDescent="0.25">
      <c r="AL318" s="19" t="s">
        <v>91</v>
      </c>
      <c r="AM318">
        <f t="shared" si="51"/>
        <v>0</v>
      </c>
      <c r="AN318">
        <f t="shared" si="63"/>
        <v>2</v>
      </c>
      <c r="AO318">
        <f t="shared" si="52"/>
        <v>3</v>
      </c>
      <c r="AP318">
        <f t="shared" si="53"/>
        <v>0</v>
      </c>
      <c r="AQ318">
        <f t="shared" si="54"/>
        <v>0</v>
      </c>
      <c r="AR318">
        <f t="shared" si="55"/>
        <v>0</v>
      </c>
      <c r="AS318">
        <f t="shared" si="56"/>
        <v>1</v>
      </c>
      <c r="AT318">
        <f t="shared" si="57"/>
        <v>0</v>
      </c>
      <c r="AU318">
        <f t="shared" si="58"/>
        <v>0</v>
      </c>
      <c r="AV318">
        <f t="shared" si="59"/>
        <v>2</v>
      </c>
      <c r="AW318">
        <f t="shared" si="60"/>
        <v>1</v>
      </c>
      <c r="AX318">
        <f t="shared" si="61"/>
        <v>0</v>
      </c>
      <c r="AY318">
        <f t="shared" si="62"/>
        <v>0</v>
      </c>
    </row>
    <row r="319" spans="38:51" x14ac:dyDescent="0.25">
      <c r="AL319" s="19" t="s">
        <v>92</v>
      </c>
      <c r="AM319">
        <f t="shared" si="51"/>
        <v>3</v>
      </c>
      <c r="AN319">
        <f t="shared" si="63"/>
        <v>6</v>
      </c>
      <c r="AO319">
        <f t="shared" si="52"/>
        <v>5</v>
      </c>
      <c r="AP319">
        <f t="shared" si="53"/>
        <v>0</v>
      </c>
      <c r="AQ319">
        <f t="shared" si="54"/>
        <v>1</v>
      </c>
      <c r="AR319">
        <f t="shared" si="55"/>
        <v>0</v>
      </c>
      <c r="AS319">
        <f t="shared" si="56"/>
        <v>3</v>
      </c>
      <c r="AT319">
        <f t="shared" si="57"/>
        <v>0</v>
      </c>
      <c r="AU319">
        <f t="shared" si="58"/>
        <v>0</v>
      </c>
      <c r="AV319">
        <f t="shared" si="59"/>
        <v>1</v>
      </c>
      <c r="AW319">
        <f t="shared" si="60"/>
        <v>0</v>
      </c>
      <c r="AX319">
        <f t="shared" si="61"/>
        <v>0</v>
      </c>
      <c r="AY319">
        <f t="shared" si="62"/>
        <v>0</v>
      </c>
    </row>
    <row r="320" spans="38:51" x14ac:dyDescent="0.25">
      <c r="AL320" s="19" t="s">
        <v>288</v>
      </c>
      <c r="AM320">
        <f t="shared" si="51"/>
        <v>1</v>
      </c>
      <c r="AN320">
        <f t="shared" si="63"/>
        <v>6</v>
      </c>
      <c r="AO320">
        <f t="shared" si="52"/>
        <v>1</v>
      </c>
      <c r="AP320">
        <f t="shared" si="53"/>
        <v>0</v>
      </c>
      <c r="AQ320">
        <f t="shared" si="54"/>
        <v>3</v>
      </c>
      <c r="AR320">
        <f t="shared" si="55"/>
        <v>6</v>
      </c>
      <c r="AS320">
        <f t="shared" si="56"/>
        <v>7</v>
      </c>
      <c r="AT320">
        <f t="shared" si="57"/>
        <v>5</v>
      </c>
      <c r="AU320">
        <f t="shared" si="58"/>
        <v>3</v>
      </c>
      <c r="AV320">
        <f t="shared" si="59"/>
        <v>3</v>
      </c>
      <c r="AW320">
        <f t="shared" si="60"/>
        <v>1</v>
      </c>
      <c r="AX320">
        <f t="shared" si="61"/>
        <v>6</v>
      </c>
      <c r="AY320">
        <f t="shared" si="62"/>
        <v>6</v>
      </c>
    </row>
    <row r="321" spans="38:51" x14ac:dyDescent="0.25">
      <c r="AL321" s="19" t="s">
        <v>93</v>
      </c>
      <c r="AM321">
        <f t="shared" si="51"/>
        <v>5</v>
      </c>
      <c r="AN321">
        <f t="shared" si="63"/>
        <v>6</v>
      </c>
      <c r="AO321">
        <f t="shared" si="52"/>
        <v>4</v>
      </c>
      <c r="AP321">
        <f t="shared" si="53"/>
        <v>2</v>
      </c>
      <c r="AQ321">
        <f t="shared" si="54"/>
        <v>7</v>
      </c>
      <c r="AR321">
        <f t="shared" si="55"/>
        <v>5</v>
      </c>
      <c r="AS321">
        <f t="shared" si="56"/>
        <v>4</v>
      </c>
      <c r="AT321">
        <f t="shared" si="57"/>
        <v>7</v>
      </c>
      <c r="AU321">
        <f t="shared" si="58"/>
        <v>7</v>
      </c>
      <c r="AV321">
        <f t="shared" si="59"/>
        <v>6</v>
      </c>
      <c r="AW321">
        <f t="shared" si="60"/>
        <v>6</v>
      </c>
      <c r="AX321">
        <f t="shared" si="61"/>
        <v>5</v>
      </c>
      <c r="AY321">
        <f t="shared" si="62"/>
        <v>6</v>
      </c>
    </row>
    <row r="322" spans="38:51" x14ac:dyDescent="0.25">
      <c r="AL322" s="19" t="s">
        <v>94</v>
      </c>
      <c r="AM322">
        <f t="shared" si="51"/>
        <v>0</v>
      </c>
      <c r="AN322">
        <f t="shared" si="63"/>
        <v>0</v>
      </c>
      <c r="AO322">
        <f t="shared" si="52"/>
        <v>0</v>
      </c>
      <c r="AP322">
        <f t="shared" si="53"/>
        <v>0</v>
      </c>
      <c r="AQ322">
        <f t="shared" si="54"/>
        <v>0</v>
      </c>
      <c r="AR322">
        <f t="shared" si="55"/>
        <v>0</v>
      </c>
      <c r="AS322">
        <f t="shared" si="56"/>
        <v>0</v>
      </c>
      <c r="AT322">
        <f t="shared" si="57"/>
        <v>0</v>
      </c>
      <c r="AU322">
        <f t="shared" si="58"/>
        <v>0</v>
      </c>
      <c r="AV322">
        <f t="shared" si="59"/>
        <v>0</v>
      </c>
      <c r="AW322">
        <f t="shared" si="60"/>
        <v>0</v>
      </c>
      <c r="AX322">
        <f t="shared" si="61"/>
        <v>0</v>
      </c>
      <c r="AY322">
        <f t="shared" si="62"/>
        <v>0</v>
      </c>
    </row>
    <row r="323" spans="38:51" x14ac:dyDescent="0.25">
      <c r="AL323" s="19" t="s">
        <v>95</v>
      </c>
      <c r="AM323">
        <f t="shared" si="51"/>
        <v>4</v>
      </c>
      <c r="AN323">
        <f t="shared" si="63"/>
        <v>5</v>
      </c>
      <c r="AO323">
        <f t="shared" si="52"/>
        <v>3</v>
      </c>
      <c r="AP323">
        <f t="shared" si="53"/>
        <v>0</v>
      </c>
      <c r="AQ323">
        <f t="shared" si="54"/>
        <v>4</v>
      </c>
      <c r="AR323">
        <f t="shared" si="55"/>
        <v>6</v>
      </c>
      <c r="AS323">
        <f t="shared" si="56"/>
        <v>5</v>
      </c>
      <c r="AT323">
        <f t="shared" si="57"/>
        <v>6</v>
      </c>
      <c r="AU323">
        <f t="shared" si="58"/>
        <v>5</v>
      </c>
      <c r="AV323">
        <f t="shared" si="59"/>
        <v>5</v>
      </c>
      <c r="AW323">
        <f t="shared" si="60"/>
        <v>4</v>
      </c>
      <c r="AX323">
        <f t="shared" si="61"/>
        <v>4</v>
      </c>
      <c r="AY323">
        <f t="shared" si="62"/>
        <v>5</v>
      </c>
    </row>
    <row r="324" spans="38:51" x14ac:dyDescent="0.25">
      <c r="AL324" s="19" t="s">
        <v>96</v>
      </c>
      <c r="AM324">
        <f t="shared" si="51"/>
        <v>6</v>
      </c>
      <c r="AN324">
        <f t="shared" si="63"/>
        <v>6</v>
      </c>
      <c r="AO324">
        <f t="shared" si="52"/>
        <v>4</v>
      </c>
      <c r="AP324">
        <f t="shared" si="53"/>
        <v>1</v>
      </c>
      <c r="AQ324">
        <f t="shared" si="54"/>
        <v>6</v>
      </c>
      <c r="AR324">
        <f t="shared" si="55"/>
        <v>5</v>
      </c>
      <c r="AS324">
        <f t="shared" si="56"/>
        <v>5</v>
      </c>
      <c r="AT324">
        <f t="shared" si="57"/>
        <v>4</v>
      </c>
      <c r="AU324">
        <f t="shared" si="58"/>
        <v>4</v>
      </c>
      <c r="AV324">
        <f t="shared" si="59"/>
        <v>2</v>
      </c>
      <c r="AW324">
        <f t="shared" si="60"/>
        <v>5</v>
      </c>
      <c r="AX324">
        <f t="shared" si="61"/>
        <v>2</v>
      </c>
      <c r="AY324">
        <f t="shared" si="62"/>
        <v>6</v>
      </c>
    </row>
    <row r="325" spans="38:51" x14ac:dyDescent="0.25">
      <c r="AL325" s="19" t="s">
        <v>97</v>
      </c>
      <c r="AM325">
        <f t="shared" si="51"/>
        <v>7</v>
      </c>
      <c r="AN325">
        <f t="shared" si="63"/>
        <v>7</v>
      </c>
      <c r="AO325">
        <f t="shared" si="52"/>
        <v>7</v>
      </c>
      <c r="AP325">
        <f t="shared" si="53"/>
        <v>4</v>
      </c>
      <c r="AQ325">
        <f t="shared" si="54"/>
        <v>7</v>
      </c>
      <c r="AR325">
        <f t="shared" si="55"/>
        <v>7</v>
      </c>
      <c r="AS325">
        <f t="shared" si="56"/>
        <v>7</v>
      </c>
      <c r="AT325">
        <f t="shared" si="57"/>
        <v>7</v>
      </c>
      <c r="AU325">
        <f t="shared" si="58"/>
        <v>7</v>
      </c>
      <c r="AV325">
        <f t="shared" si="59"/>
        <v>7</v>
      </c>
      <c r="AW325">
        <f t="shared" si="60"/>
        <v>7</v>
      </c>
      <c r="AX325">
        <f t="shared" si="61"/>
        <v>7</v>
      </c>
      <c r="AY325">
        <f t="shared" si="62"/>
        <v>7</v>
      </c>
    </row>
    <row r="326" spans="38:51" x14ac:dyDescent="0.25">
      <c r="AL326" s="19" t="s">
        <v>98</v>
      </c>
      <c r="AM326">
        <f t="shared" si="51"/>
        <v>3</v>
      </c>
      <c r="AN326">
        <f t="shared" si="63"/>
        <v>6</v>
      </c>
      <c r="AO326">
        <f t="shared" si="52"/>
        <v>3</v>
      </c>
      <c r="AP326">
        <f t="shared" si="53"/>
        <v>0</v>
      </c>
      <c r="AQ326">
        <f t="shared" si="54"/>
        <v>1</v>
      </c>
      <c r="AR326">
        <f t="shared" si="55"/>
        <v>2</v>
      </c>
      <c r="AS326">
        <f t="shared" si="56"/>
        <v>2</v>
      </c>
      <c r="AT326">
        <f t="shared" si="57"/>
        <v>2</v>
      </c>
      <c r="AU326">
        <f t="shared" si="58"/>
        <v>1</v>
      </c>
      <c r="AV326">
        <f t="shared" si="59"/>
        <v>0</v>
      </c>
      <c r="AW326">
        <f t="shared" si="60"/>
        <v>0</v>
      </c>
      <c r="AX326">
        <f t="shared" si="61"/>
        <v>0</v>
      </c>
      <c r="AY326">
        <f t="shared" si="62"/>
        <v>1</v>
      </c>
    </row>
    <row r="327" spans="38:51" x14ac:dyDescent="0.25">
      <c r="AL327" s="19" t="s">
        <v>99</v>
      </c>
      <c r="AM327">
        <f t="shared" si="51"/>
        <v>6</v>
      </c>
      <c r="AN327">
        <f t="shared" si="63"/>
        <v>0</v>
      </c>
      <c r="AO327">
        <f t="shared" si="52"/>
        <v>3</v>
      </c>
      <c r="AP327">
        <f t="shared" si="53"/>
        <v>1</v>
      </c>
      <c r="AQ327">
        <f t="shared" si="54"/>
        <v>7</v>
      </c>
      <c r="AR327">
        <f t="shared" si="55"/>
        <v>7</v>
      </c>
      <c r="AS327">
        <f t="shared" si="56"/>
        <v>6</v>
      </c>
      <c r="AT327">
        <f t="shared" si="57"/>
        <v>7</v>
      </c>
      <c r="AU327">
        <f t="shared" si="58"/>
        <v>7</v>
      </c>
      <c r="AV327">
        <f t="shared" si="59"/>
        <v>6</v>
      </c>
      <c r="AW327">
        <f t="shared" si="60"/>
        <v>7</v>
      </c>
      <c r="AX327">
        <f t="shared" si="61"/>
        <v>7</v>
      </c>
      <c r="AY327">
        <f t="shared" si="62"/>
        <v>7</v>
      </c>
    </row>
    <row r="328" spans="38:51" x14ac:dyDescent="0.25">
      <c r="AL328" s="19" t="s">
        <v>100</v>
      </c>
      <c r="AM328">
        <f t="shared" si="51"/>
        <v>2</v>
      </c>
      <c r="AN328">
        <f t="shared" si="63"/>
        <v>0</v>
      </c>
      <c r="AO328">
        <f t="shared" si="52"/>
        <v>0</v>
      </c>
      <c r="AP328">
        <f t="shared" si="53"/>
        <v>0</v>
      </c>
      <c r="AQ328">
        <f t="shared" si="54"/>
        <v>0</v>
      </c>
      <c r="AR328">
        <f t="shared" si="55"/>
        <v>0</v>
      </c>
      <c r="AS328">
        <f t="shared" si="56"/>
        <v>0</v>
      </c>
      <c r="AT328">
        <f t="shared" si="57"/>
        <v>0</v>
      </c>
      <c r="AU328">
        <f t="shared" si="58"/>
        <v>0</v>
      </c>
      <c r="AV328">
        <f t="shared" si="59"/>
        <v>1</v>
      </c>
      <c r="AW328">
        <f t="shared" si="60"/>
        <v>0</v>
      </c>
      <c r="AX328">
        <f t="shared" si="61"/>
        <v>0</v>
      </c>
      <c r="AY328">
        <f t="shared" si="62"/>
        <v>0</v>
      </c>
    </row>
    <row r="329" spans="38:51" x14ac:dyDescent="0.25">
      <c r="AL329" s="19" t="s">
        <v>101</v>
      </c>
      <c r="AM329">
        <f t="shared" si="51"/>
        <v>0</v>
      </c>
      <c r="AN329">
        <f t="shared" si="63"/>
        <v>0</v>
      </c>
      <c r="AO329">
        <f t="shared" si="52"/>
        <v>0</v>
      </c>
      <c r="AP329">
        <f t="shared" si="53"/>
        <v>0</v>
      </c>
      <c r="AQ329">
        <f t="shared" si="54"/>
        <v>1</v>
      </c>
      <c r="AR329">
        <f t="shared" si="55"/>
        <v>7</v>
      </c>
      <c r="AS329">
        <f t="shared" si="56"/>
        <v>1</v>
      </c>
      <c r="AT329">
        <f t="shared" si="57"/>
        <v>2</v>
      </c>
      <c r="AU329">
        <f t="shared" si="58"/>
        <v>1</v>
      </c>
      <c r="AV329">
        <f t="shared" si="59"/>
        <v>1</v>
      </c>
      <c r="AW329">
        <f t="shared" si="60"/>
        <v>1</v>
      </c>
      <c r="AX329">
        <f t="shared" si="61"/>
        <v>0</v>
      </c>
      <c r="AY329">
        <f t="shared" si="62"/>
        <v>0</v>
      </c>
    </row>
    <row r="330" spans="38:51" x14ac:dyDescent="0.25">
      <c r="AL330" s="19" t="s">
        <v>102</v>
      </c>
      <c r="AM330">
        <f t="shared" si="51"/>
        <v>2</v>
      </c>
      <c r="AN330">
        <f t="shared" si="63"/>
        <v>2</v>
      </c>
      <c r="AO330">
        <f t="shared" si="52"/>
        <v>1</v>
      </c>
      <c r="AP330">
        <f t="shared" si="53"/>
        <v>0</v>
      </c>
      <c r="AQ330">
        <f t="shared" si="54"/>
        <v>0</v>
      </c>
      <c r="AR330">
        <f t="shared" si="55"/>
        <v>0</v>
      </c>
      <c r="AS330">
        <f t="shared" si="56"/>
        <v>0</v>
      </c>
      <c r="AT330">
        <f t="shared" si="57"/>
        <v>0</v>
      </c>
      <c r="AU330">
        <f t="shared" si="58"/>
        <v>1</v>
      </c>
      <c r="AV330">
        <f t="shared" si="59"/>
        <v>2</v>
      </c>
      <c r="AW330">
        <f t="shared" si="60"/>
        <v>0</v>
      </c>
      <c r="AX330">
        <f t="shared" si="61"/>
        <v>0</v>
      </c>
      <c r="AY330">
        <f t="shared" si="62"/>
        <v>0</v>
      </c>
    </row>
    <row r="331" spans="38:51" x14ac:dyDescent="0.25">
      <c r="AL331" s="19" t="s">
        <v>103</v>
      </c>
      <c r="AM331">
        <f t="shared" si="51"/>
        <v>0</v>
      </c>
      <c r="AN331">
        <f t="shared" si="63"/>
        <v>0</v>
      </c>
      <c r="AO331">
        <f t="shared" si="52"/>
        <v>0</v>
      </c>
      <c r="AP331">
        <f t="shared" si="53"/>
        <v>0</v>
      </c>
      <c r="AQ331">
        <f t="shared" si="54"/>
        <v>0</v>
      </c>
      <c r="AR331">
        <f t="shared" si="55"/>
        <v>1</v>
      </c>
      <c r="AS331">
        <f t="shared" si="56"/>
        <v>3</v>
      </c>
      <c r="AT331">
        <f t="shared" si="57"/>
        <v>1</v>
      </c>
      <c r="AU331">
        <f t="shared" si="58"/>
        <v>0</v>
      </c>
      <c r="AV331">
        <f t="shared" si="59"/>
        <v>0</v>
      </c>
      <c r="AW331">
        <f t="shared" si="60"/>
        <v>0</v>
      </c>
      <c r="AX331">
        <f t="shared" si="61"/>
        <v>0</v>
      </c>
      <c r="AY331">
        <f t="shared" si="62"/>
        <v>0</v>
      </c>
    </row>
    <row r="332" spans="38:51" x14ac:dyDescent="0.25">
      <c r="AL332" s="19" t="s">
        <v>289</v>
      </c>
      <c r="AM332">
        <f t="shared" si="51"/>
        <v>4</v>
      </c>
      <c r="AN332">
        <f t="shared" si="63"/>
        <v>3</v>
      </c>
      <c r="AO332">
        <f t="shared" si="52"/>
        <v>2</v>
      </c>
      <c r="AP332">
        <f t="shared" si="53"/>
        <v>0</v>
      </c>
      <c r="AQ332">
        <f t="shared" si="54"/>
        <v>0</v>
      </c>
      <c r="AR332">
        <f t="shared" si="55"/>
        <v>2</v>
      </c>
      <c r="AS332">
        <f t="shared" si="56"/>
        <v>4</v>
      </c>
      <c r="AT332">
        <f t="shared" si="57"/>
        <v>4</v>
      </c>
      <c r="AU332">
        <f t="shared" si="58"/>
        <v>2</v>
      </c>
      <c r="AV332">
        <f t="shared" si="59"/>
        <v>1</v>
      </c>
      <c r="AW332">
        <f t="shared" si="60"/>
        <v>3</v>
      </c>
      <c r="AX332">
        <f t="shared" si="61"/>
        <v>1</v>
      </c>
      <c r="AY332">
        <f t="shared" si="62"/>
        <v>0</v>
      </c>
    </row>
    <row r="333" spans="38:51" x14ac:dyDescent="0.25">
      <c r="AL333" s="19" t="s">
        <v>104</v>
      </c>
      <c r="AM333">
        <f t="shared" si="51"/>
        <v>0</v>
      </c>
      <c r="AN333">
        <f t="shared" si="63"/>
        <v>0</v>
      </c>
      <c r="AO333">
        <f t="shared" si="52"/>
        <v>1</v>
      </c>
      <c r="AP333">
        <f t="shared" si="53"/>
        <v>0</v>
      </c>
      <c r="AQ333">
        <f t="shared" si="54"/>
        <v>0</v>
      </c>
      <c r="AR333">
        <f t="shared" si="55"/>
        <v>1</v>
      </c>
      <c r="AS333">
        <f t="shared" si="56"/>
        <v>1</v>
      </c>
      <c r="AT333">
        <f t="shared" si="57"/>
        <v>0</v>
      </c>
      <c r="AU333">
        <f t="shared" si="58"/>
        <v>0</v>
      </c>
      <c r="AV333">
        <f t="shared" si="59"/>
        <v>0</v>
      </c>
      <c r="AW333">
        <f t="shared" si="60"/>
        <v>2</v>
      </c>
      <c r="AX333">
        <f t="shared" si="61"/>
        <v>2</v>
      </c>
      <c r="AY333">
        <f t="shared" si="62"/>
        <v>0</v>
      </c>
    </row>
    <row r="334" spans="38:51" x14ac:dyDescent="0.25">
      <c r="AL334" s="19" t="s">
        <v>105</v>
      </c>
      <c r="AM334">
        <f t="shared" si="51"/>
        <v>7</v>
      </c>
      <c r="AN334">
        <f t="shared" si="63"/>
        <v>7</v>
      </c>
      <c r="AO334">
        <f t="shared" si="52"/>
        <v>7</v>
      </c>
      <c r="AP334">
        <f t="shared" si="53"/>
        <v>7</v>
      </c>
      <c r="AQ334">
        <f t="shared" si="54"/>
        <v>7</v>
      </c>
      <c r="AR334">
        <f t="shared" si="55"/>
        <v>7</v>
      </c>
      <c r="AS334">
        <f t="shared" si="56"/>
        <v>7</v>
      </c>
      <c r="AT334">
        <f t="shared" si="57"/>
        <v>7</v>
      </c>
      <c r="AU334">
        <f t="shared" si="58"/>
        <v>6</v>
      </c>
      <c r="AV334">
        <f t="shared" si="59"/>
        <v>4</v>
      </c>
      <c r="AW334">
        <f t="shared" si="60"/>
        <v>7</v>
      </c>
      <c r="AX334">
        <f t="shared" si="61"/>
        <v>7</v>
      </c>
      <c r="AY334">
        <f t="shared" si="62"/>
        <v>7</v>
      </c>
    </row>
    <row r="335" spans="38:51" x14ac:dyDescent="0.25">
      <c r="AL335" s="19" t="s">
        <v>106</v>
      </c>
      <c r="AM335">
        <f t="shared" si="51"/>
        <v>4</v>
      </c>
      <c r="AN335">
        <f>COUNTIF($AU51:$BA51,"&gt;=95%")</f>
        <v>2</v>
      </c>
      <c r="AO335">
        <f t="shared" si="52"/>
        <v>7</v>
      </c>
      <c r="AP335">
        <f t="shared" si="53"/>
        <v>0</v>
      </c>
      <c r="AQ335">
        <f t="shared" si="54"/>
        <v>4</v>
      </c>
      <c r="AR335">
        <f t="shared" si="55"/>
        <v>6</v>
      </c>
      <c r="AS335">
        <f t="shared" si="56"/>
        <v>6</v>
      </c>
      <c r="AT335">
        <f t="shared" si="57"/>
        <v>4</v>
      </c>
      <c r="AU335">
        <f t="shared" si="58"/>
        <v>5</v>
      </c>
      <c r="AV335">
        <f t="shared" si="59"/>
        <v>7</v>
      </c>
      <c r="AW335">
        <f t="shared" si="60"/>
        <v>7</v>
      </c>
      <c r="AX335">
        <f t="shared" si="61"/>
        <v>7</v>
      </c>
      <c r="AY335">
        <f t="shared" si="62"/>
        <v>7</v>
      </c>
    </row>
    <row r="336" spans="38:51" x14ac:dyDescent="0.25">
      <c r="AL336" s="19" t="s">
        <v>107</v>
      </c>
      <c r="AM336">
        <f t="shared" si="51"/>
        <v>7</v>
      </c>
      <c r="AN336">
        <f t="shared" si="63"/>
        <v>7</v>
      </c>
      <c r="AO336">
        <f t="shared" si="52"/>
        <v>7</v>
      </c>
      <c r="AP336">
        <f t="shared" si="53"/>
        <v>5</v>
      </c>
      <c r="AQ336">
        <f t="shared" si="54"/>
        <v>6</v>
      </c>
      <c r="AR336">
        <f t="shared" si="55"/>
        <v>7</v>
      </c>
      <c r="AS336">
        <f t="shared" si="56"/>
        <v>7</v>
      </c>
      <c r="AT336">
        <f t="shared" si="57"/>
        <v>7</v>
      </c>
      <c r="AU336">
        <f t="shared" si="58"/>
        <v>7</v>
      </c>
      <c r="AV336">
        <f t="shared" si="59"/>
        <v>7</v>
      </c>
      <c r="AW336">
        <f t="shared" si="60"/>
        <v>7</v>
      </c>
      <c r="AX336">
        <f t="shared" si="61"/>
        <v>7</v>
      </c>
      <c r="AY336">
        <f t="shared" si="62"/>
        <v>7</v>
      </c>
    </row>
    <row r="337" spans="38:51" x14ac:dyDescent="0.25">
      <c r="AL337" s="19" t="s">
        <v>108</v>
      </c>
      <c r="AM337">
        <f t="shared" si="51"/>
        <v>7</v>
      </c>
      <c r="AN337">
        <f t="shared" si="63"/>
        <v>7</v>
      </c>
      <c r="AO337">
        <f t="shared" si="52"/>
        <v>7</v>
      </c>
      <c r="AP337">
        <f t="shared" si="53"/>
        <v>6</v>
      </c>
      <c r="AQ337">
        <f t="shared" si="54"/>
        <v>7</v>
      </c>
      <c r="AR337">
        <f t="shared" si="55"/>
        <v>7</v>
      </c>
      <c r="AS337">
        <f t="shared" si="56"/>
        <v>7</v>
      </c>
      <c r="AT337">
        <f t="shared" si="57"/>
        <v>7</v>
      </c>
      <c r="AU337">
        <f t="shared" si="58"/>
        <v>7</v>
      </c>
      <c r="AV337">
        <f t="shared" si="59"/>
        <v>7</v>
      </c>
      <c r="AW337">
        <f t="shared" si="60"/>
        <v>7</v>
      </c>
      <c r="AX337">
        <f t="shared" si="61"/>
        <v>7</v>
      </c>
      <c r="AY337">
        <f t="shared" si="62"/>
        <v>7</v>
      </c>
    </row>
    <row r="338" spans="38:51" x14ac:dyDescent="0.25">
      <c r="AL338" s="19" t="s">
        <v>109</v>
      </c>
      <c r="AM338">
        <f t="shared" si="51"/>
        <v>7</v>
      </c>
      <c r="AN338">
        <f t="shared" si="63"/>
        <v>6</v>
      </c>
      <c r="AO338">
        <f t="shared" si="52"/>
        <v>7</v>
      </c>
      <c r="AP338">
        <f t="shared" si="53"/>
        <v>5</v>
      </c>
      <c r="AQ338">
        <f t="shared" si="54"/>
        <v>6</v>
      </c>
      <c r="AR338">
        <f t="shared" si="55"/>
        <v>7</v>
      </c>
      <c r="AS338">
        <f t="shared" si="56"/>
        <v>7</v>
      </c>
      <c r="AT338">
        <f t="shared" si="57"/>
        <v>6</v>
      </c>
      <c r="AU338">
        <f t="shared" si="58"/>
        <v>7</v>
      </c>
      <c r="AV338">
        <f t="shared" si="59"/>
        <v>7</v>
      </c>
      <c r="AW338">
        <f t="shared" si="60"/>
        <v>7</v>
      </c>
      <c r="AX338">
        <f t="shared" si="61"/>
        <v>7</v>
      </c>
      <c r="AY338">
        <f t="shared" si="62"/>
        <v>6</v>
      </c>
    </row>
    <row r="339" spans="38:51" x14ac:dyDescent="0.25">
      <c r="AL339" s="19" t="s">
        <v>110</v>
      </c>
      <c r="AM339">
        <f t="shared" si="51"/>
        <v>7</v>
      </c>
      <c r="AN339">
        <f t="shared" si="63"/>
        <v>7</v>
      </c>
      <c r="AO339">
        <f t="shared" si="52"/>
        <v>7</v>
      </c>
      <c r="AP339">
        <f t="shared" si="53"/>
        <v>7</v>
      </c>
      <c r="AQ339">
        <f t="shared" si="54"/>
        <v>7</v>
      </c>
      <c r="AR339">
        <f t="shared" si="55"/>
        <v>7</v>
      </c>
      <c r="AS339">
        <f t="shared" si="56"/>
        <v>7</v>
      </c>
      <c r="AT339">
        <f t="shared" si="57"/>
        <v>7</v>
      </c>
      <c r="AU339">
        <f t="shared" si="58"/>
        <v>7</v>
      </c>
      <c r="AV339">
        <f t="shared" si="59"/>
        <v>7</v>
      </c>
      <c r="AW339">
        <f t="shared" si="60"/>
        <v>7</v>
      </c>
      <c r="AX339">
        <f t="shared" si="61"/>
        <v>7</v>
      </c>
      <c r="AY339">
        <f t="shared" si="62"/>
        <v>7</v>
      </c>
    </row>
    <row r="340" spans="38:51" x14ac:dyDescent="0.25">
      <c r="AL340" s="19" t="s">
        <v>111</v>
      </c>
      <c r="AM340">
        <f t="shared" si="51"/>
        <v>7</v>
      </c>
      <c r="AN340">
        <f t="shared" si="63"/>
        <v>7</v>
      </c>
      <c r="AO340">
        <f t="shared" si="52"/>
        <v>5</v>
      </c>
      <c r="AP340">
        <f t="shared" si="53"/>
        <v>1</v>
      </c>
      <c r="AQ340">
        <f t="shared" si="54"/>
        <v>6</v>
      </c>
      <c r="AR340">
        <f t="shared" si="55"/>
        <v>7</v>
      </c>
      <c r="AS340">
        <f t="shared" si="56"/>
        <v>7</v>
      </c>
      <c r="AT340">
        <f t="shared" si="57"/>
        <v>7</v>
      </c>
      <c r="AU340">
        <f t="shared" si="58"/>
        <v>7</v>
      </c>
      <c r="AV340">
        <f t="shared" si="59"/>
        <v>7</v>
      </c>
      <c r="AW340">
        <f t="shared" si="60"/>
        <v>7</v>
      </c>
      <c r="AX340">
        <f t="shared" si="61"/>
        <v>7</v>
      </c>
      <c r="AY340">
        <f t="shared" si="62"/>
        <v>7</v>
      </c>
    </row>
    <row r="341" spans="38:51" x14ac:dyDescent="0.25">
      <c r="AL341" s="19" t="s">
        <v>112</v>
      </c>
      <c r="AM341">
        <f t="shared" si="51"/>
        <v>6</v>
      </c>
      <c r="AN341">
        <f t="shared" si="63"/>
        <v>7</v>
      </c>
      <c r="AO341">
        <f t="shared" si="52"/>
        <v>7</v>
      </c>
      <c r="AP341">
        <f t="shared" si="53"/>
        <v>4</v>
      </c>
      <c r="AQ341">
        <f t="shared" si="54"/>
        <v>7</v>
      </c>
      <c r="AR341">
        <f t="shared" si="55"/>
        <v>7</v>
      </c>
      <c r="AS341">
        <f t="shared" si="56"/>
        <v>7</v>
      </c>
      <c r="AT341">
        <f t="shared" si="57"/>
        <v>7</v>
      </c>
      <c r="AU341">
        <f t="shared" si="58"/>
        <v>3</v>
      </c>
      <c r="AV341">
        <f t="shared" si="59"/>
        <v>3</v>
      </c>
      <c r="AW341">
        <f t="shared" si="60"/>
        <v>6</v>
      </c>
      <c r="AX341">
        <f t="shared" si="61"/>
        <v>3</v>
      </c>
      <c r="AY341">
        <f t="shared" si="62"/>
        <v>6</v>
      </c>
    </row>
    <row r="342" spans="38:51" x14ac:dyDescent="0.25">
      <c r="AL342" s="19" t="s">
        <v>290</v>
      </c>
      <c r="AM342">
        <f t="shared" si="51"/>
        <v>0</v>
      </c>
      <c r="AN342">
        <f t="shared" si="63"/>
        <v>1</v>
      </c>
      <c r="AO342">
        <f t="shared" si="52"/>
        <v>2</v>
      </c>
      <c r="AP342">
        <f t="shared" si="53"/>
        <v>0</v>
      </c>
      <c r="AQ342">
        <f t="shared" si="54"/>
        <v>1</v>
      </c>
      <c r="AR342">
        <f t="shared" si="55"/>
        <v>7</v>
      </c>
      <c r="AS342">
        <f t="shared" si="56"/>
        <v>5</v>
      </c>
      <c r="AT342">
        <f t="shared" si="57"/>
        <v>2</v>
      </c>
      <c r="AU342">
        <f t="shared" si="58"/>
        <v>7</v>
      </c>
      <c r="AV342">
        <f t="shared" si="59"/>
        <v>3</v>
      </c>
      <c r="AW342">
        <f t="shared" si="60"/>
        <v>3</v>
      </c>
      <c r="AX342">
        <f t="shared" si="61"/>
        <v>2</v>
      </c>
      <c r="AY342">
        <f t="shared" si="62"/>
        <v>4</v>
      </c>
    </row>
    <row r="343" spans="38:51" x14ac:dyDescent="0.25">
      <c r="AL343" s="19" t="s">
        <v>235</v>
      </c>
      <c r="AM343">
        <f t="shared" si="51"/>
        <v>7</v>
      </c>
      <c r="AN343">
        <f t="shared" si="63"/>
        <v>7</v>
      </c>
      <c r="AO343">
        <f t="shared" si="52"/>
        <v>7</v>
      </c>
      <c r="AP343">
        <f t="shared" si="53"/>
        <v>7</v>
      </c>
      <c r="AQ343">
        <f t="shared" si="54"/>
        <v>3</v>
      </c>
      <c r="AR343">
        <f t="shared" si="55"/>
        <v>7</v>
      </c>
      <c r="AS343">
        <f t="shared" si="56"/>
        <v>7</v>
      </c>
      <c r="AT343">
        <f t="shared" si="57"/>
        <v>7</v>
      </c>
      <c r="AU343">
        <f t="shared" si="58"/>
        <v>7</v>
      </c>
      <c r="AV343">
        <f t="shared" si="59"/>
        <v>7</v>
      </c>
      <c r="AW343">
        <f t="shared" si="60"/>
        <v>7</v>
      </c>
      <c r="AX343">
        <f t="shared" si="61"/>
        <v>7</v>
      </c>
      <c r="AY343">
        <f t="shared" si="62"/>
        <v>7</v>
      </c>
    </row>
    <row r="344" spans="38:51" x14ac:dyDescent="0.25">
      <c r="AL344" s="19" t="s">
        <v>113</v>
      </c>
      <c r="AM344">
        <f t="shared" si="51"/>
        <v>6</v>
      </c>
      <c r="AN344">
        <f t="shared" si="63"/>
        <v>7</v>
      </c>
      <c r="AO344">
        <f t="shared" si="52"/>
        <v>4</v>
      </c>
      <c r="AP344">
        <f t="shared" si="53"/>
        <v>3</v>
      </c>
      <c r="AQ344">
        <f t="shared" si="54"/>
        <v>4</v>
      </c>
      <c r="AR344">
        <f t="shared" si="55"/>
        <v>5</v>
      </c>
      <c r="AS344">
        <f t="shared" si="56"/>
        <v>5</v>
      </c>
      <c r="AT344">
        <f t="shared" si="57"/>
        <v>6</v>
      </c>
      <c r="AU344">
        <f t="shared" si="58"/>
        <v>6</v>
      </c>
      <c r="AV344">
        <f t="shared" si="59"/>
        <v>4</v>
      </c>
      <c r="AW344">
        <f t="shared" si="60"/>
        <v>2</v>
      </c>
      <c r="AX344">
        <f t="shared" si="61"/>
        <v>4</v>
      </c>
      <c r="AY344">
        <f t="shared" si="62"/>
        <v>4</v>
      </c>
    </row>
    <row r="345" spans="38:51" x14ac:dyDescent="0.25">
      <c r="AL345" s="19" t="s">
        <v>114</v>
      </c>
      <c r="AM345">
        <f t="shared" si="51"/>
        <v>0</v>
      </c>
      <c r="AN345">
        <f t="shared" si="63"/>
        <v>0</v>
      </c>
      <c r="AO345">
        <f t="shared" si="52"/>
        <v>0</v>
      </c>
      <c r="AP345">
        <f t="shared" si="53"/>
        <v>0</v>
      </c>
      <c r="AQ345">
        <f t="shared" si="54"/>
        <v>0</v>
      </c>
      <c r="AR345">
        <f t="shared" si="55"/>
        <v>0</v>
      </c>
      <c r="AS345">
        <f t="shared" si="56"/>
        <v>0</v>
      </c>
      <c r="AT345">
        <f t="shared" si="57"/>
        <v>0</v>
      </c>
      <c r="AU345">
        <f t="shared" si="58"/>
        <v>0</v>
      </c>
      <c r="AV345">
        <f t="shared" si="59"/>
        <v>0</v>
      </c>
      <c r="AW345">
        <f t="shared" si="60"/>
        <v>0</v>
      </c>
      <c r="AX345">
        <f t="shared" si="61"/>
        <v>0</v>
      </c>
      <c r="AY345">
        <f t="shared" si="62"/>
        <v>0</v>
      </c>
    </row>
    <row r="346" spans="38:51" x14ac:dyDescent="0.25">
      <c r="AL346" s="19" t="s">
        <v>115</v>
      </c>
      <c r="AM346">
        <f t="shared" si="51"/>
        <v>0</v>
      </c>
      <c r="AN346">
        <f t="shared" si="63"/>
        <v>0</v>
      </c>
      <c r="AO346">
        <f t="shared" si="52"/>
        <v>0</v>
      </c>
      <c r="AP346">
        <f t="shared" si="53"/>
        <v>0</v>
      </c>
      <c r="AQ346">
        <f t="shared" si="54"/>
        <v>0</v>
      </c>
      <c r="AR346">
        <f t="shared" si="55"/>
        <v>0</v>
      </c>
      <c r="AS346">
        <f t="shared" si="56"/>
        <v>0</v>
      </c>
      <c r="AT346">
        <f t="shared" si="57"/>
        <v>0</v>
      </c>
      <c r="AU346">
        <f t="shared" si="58"/>
        <v>0</v>
      </c>
      <c r="AV346">
        <f t="shared" si="59"/>
        <v>0</v>
      </c>
      <c r="AW346">
        <f t="shared" si="60"/>
        <v>0</v>
      </c>
      <c r="AX346">
        <f t="shared" si="61"/>
        <v>0</v>
      </c>
      <c r="AY346">
        <f t="shared" si="62"/>
        <v>0</v>
      </c>
    </row>
    <row r="347" spans="38:51" x14ac:dyDescent="0.25">
      <c r="AL347" s="19" t="s">
        <v>116</v>
      </c>
      <c r="AM347">
        <f t="shared" si="51"/>
        <v>7</v>
      </c>
      <c r="AN347">
        <f t="shared" si="63"/>
        <v>7</v>
      </c>
      <c r="AO347">
        <f t="shared" si="52"/>
        <v>7</v>
      </c>
      <c r="AP347">
        <f t="shared" si="53"/>
        <v>6</v>
      </c>
      <c r="AQ347">
        <f t="shared" si="54"/>
        <v>7</v>
      </c>
      <c r="AR347">
        <f t="shared" si="55"/>
        <v>7</v>
      </c>
      <c r="AS347">
        <f t="shared" si="56"/>
        <v>7</v>
      </c>
      <c r="AT347">
        <f t="shared" si="57"/>
        <v>6</v>
      </c>
      <c r="AU347">
        <f t="shared" si="58"/>
        <v>7</v>
      </c>
      <c r="AV347">
        <f t="shared" si="59"/>
        <v>7</v>
      </c>
      <c r="AW347">
        <f t="shared" si="60"/>
        <v>7</v>
      </c>
      <c r="AX347">
        <f t="shared" si="61"/>
        <v>7</v>
      </c>
      <c r="AY347">
        <f t="shared" si="62"/>
        <v>7</v>
      </c>
    </row>
    <row r="348" spans="38:51" x14ac:dyDescent="0.25">
      <c r="AL348" s="19" t="s">
        <v>117</v>
      </c>
      <c r="AM348">
        <f t="shared" si="51"/>
        <v>5</v>
      </c>
      <c r="AN348">
        <f t="shared" si="63"/>
        <v>4</v>
      </c>
      <c r="AO348">
        <f t="shared" si="52"/>
        <v>4</v>
      </c>
      <c r="AP348">
        <f t="shared" si="53"/>
        <v>0</v>
      </c>
      <c r="AQ348">
        <f t="shared" si="54"/>
        <v>6</v>
      </c>
      <c r="AR348">
        <f t="shared" si="55"/>
        <v>5</v>
      </c>
      <c r="AS348">
        <f t="shared" si="56"/>
        <v>7</v>
      </c>
      <c r="AT348">
        <f t="shared" si="57"/>
        <v>4</v>
      </c>
      <c r="AU348">
        <f t="shared" si="58"/>
        <v>2</v>
      </c>
      <c r="AV348">
        <f t="shared" si="59"/>
        <v>0</v>
      </c>
      <c r="AW348">
        <f t="shared" si="60"/>
        <v>0</v>
      </c>
      <c r="AX348">
        <f t="shared" si="61"/>
        <v>0</v>
      </c>
      <c r="AY348">
        <f t="shared" si="62"/>
        <v>0</v>
      </c>
    </row>
    <row r="349" spans="38:51" x14ac:dyDescent="0.25">
      <c r="AL349" s="19" t="s">
        <v>118</v>
      </c>
      <c r="AM349">
        <f t="shared" si="51"/>
        <v>7</v>
      </c>
      <c r="AN349">
        <f t="shared" si="63"/>
        <v>7</v>
      </c>
      <c r="AO349">
        <f t="shared" si="52"/>
        <v>7</v>
      </c>
      <c r="AP349">
        <f t="shared" si="53"/>
        <v>7</v>
      </c>
      <c r="AQ349">
        <f t="shared" si="54"/>
        <v>7</v>
      </c>
      <c r="AR349">
        <f t="shared" si="55"/>
        <v>7</v>
      </c>
      <c r="AS349">
        <f t="shared" si="56"/>
        <v>7</v>
      </c>
      <c r="AT349">
        <f t="shared" si="57"/>
        <v>7</v>
      </c>
      <c r="AU349">
        <f t="shared" si="58"/>
        <v>5</v>
      </c>
      <c r="AV349">
        <f t="shared" si="59"/>
        <v>7</v>
      </c>
      <c r="AW349">
        <f t="shared" si="60"/>
        <v>2</v>
      </c>
      <c r="AX349">
        <f t="shared" si="61"/>
        <v>2</v>
      </c>
      <c r="AY349">
        <f t="shared" si="62"/>
        <v>4</v>
      </c>
    </row>
    <row r="350" spans="38:51" x14ac:dyDescent="0.25">
      <c r="AL350" s="19" t="s">
        <v>119</v>
      </c>
      <c r="AM350">
        <f t="shared" si="51"/>
        <v>5</v>
      </c>
      <c r="AN350">
        <f t="shared" si="63"/>
        <v>5</v>
      </c>
      <c r="AO350">
        <f t="shared" si="52"/>
        <v>4</v>
      </c>
      <c r="AP350">
        <f t="shared" si="53"/>
        <v>1</v>
      </c>
      <c r="AQ350">
        <f t="shared" si="54"/>
        <v>4</v>
      </c>
      <c r="AR350">
        <f t="shared" si="55"/>
        <v>4</v>
      </c>
      <c r="AS350">
        <f t="shared" si="56"/>
        <v>5</v>
      </c>
      <c r="AT350">
        <f t="shared" si="57"/>
        <v>6</v>
      </c>
      <c r="AU350">
        <f t="shared" si="58"/>
        <v>6</v>
      </c>
      <c r="AV350">
        <f t="shared" si="59"/>
        <v>5</v>
      </c>
      <c r="AW350">
        <f t="shared" si="60"/>
        <v>5</v>
      </c>
      <c r="AX350">
        <f t="shared" si="61"/>
        <v>0</v>
      </c>
      <c r="AY350">
        <f t="shared" si="62"/>
        <v>6</v>
      </c>
    </row>
    <row r="351" spans="38:51" x14ac:dyDescent="0.25">
      <c r="AL351" s="19" t="s">
        <v>120</v>
      </c>
      <c r="AM351">
        <f t="shared" si="51"/>
        <v>1</v>
      </c>
      <c r="AN351">
        <f t="shared" si="63"/>
        <v>5</v>
      </c>
      <c r="AO351">
        <f t="shared" si="52"/>
        <v>5</v>
      </c>
      <c r="AP351">
        <f t="shared" si="53"/>
        <v>2</v>
      </c>
      <c r="AQ351">
        <f t="shared" si="54"/>
        <v>4</v>
      </c>
      <c r="AR351">
        <f t="shared" si="55"/>
        <v>3</v>
      </c>
      <c r="AS351">
        <f t="shared" si="56"/>
        <v>5</v>
      </c>
      <c r="AT351">
        <f t="shared" si="57"/>
        <v>5</v>
      </c>
      <c r="AU351">
        <f t="shared" si="58"/>
        <v>5</v>
      </c>
      <c r="AV351">
        <f t="shared" si="59"/>
        <v>3</v>
      </c>
      <c r="AW351">
        <f t="shared" si="60"/>
        <v>1</v>
      </c>
      <c r="AX351">
        <f t="shared" si="61"/>
        <v>1</v>
      </c>
      <c r="AY351">
        <f t="shared" si="62"/>
        <v>0</v>
      </c>
    </row>
    <row r="352" spans="38:51" x14ac:dyDescent="0.25">
      <c r="AL352" s="19" t="s">
        <v>121</v>
      </c>
      <c r="AM352">
        <f t="shared" si="51"/>
        <v>6</v>
      </c>
      <c r="AN352">
        <f t="shared" si="63"/>
        <v>7</v>
      </c>
      <c r="AO352">
        <f t="shared" si="52"/>
        <v>4</v>
      </c>
      <c r="AP352">
        <f t="shared" si="53"/>
        <v>1</v>
      </c>
      <c r="AQ352">
        <f t="shared" si="54"/>
        <v>6</v>
      </c>
      <c r="AR352">
        <f t="shared" si="55"/>
        <v>3</v>
      </c>
      <c r="AS352">
        <f t="shared" si="56"/>
        <v>5</v>
      </c>
      <c r="AT352">
        <f t="shared" si="57"/>
        <v>4</v>
      </c>
      <c r="AU352">
        <f t="shared" si="58"/>
        <v>6</v>
      </c>
      <c r="AV352">
        <f t="shared" si="59"/>
        <v>5</v>
      </c>
      <c r="AW352">
        <f t="shared" si="60"/>
        <v>4</v>
      </c>
      <c r="AX352">
        <f t="shared" si="61"/>
        <v>5</v>
      </c>
      <c r="AY352">
        <f t="shared" si="62"/>
        <v>3</v>
      </c>
    </row>
    <row r="353" spans="38:51" x14ac:dyDescent="0.25">
      <c r="AL353" s="19" t="s">
        <v>122</v>
      </c>
      <c r="AM353">
        <f t="shared" si="51"/>
        <v>7</v>
      </c>
      <c r="AN353">
        <f t="shared" si="63"/>
        <v>7</v>
      </c>
      <c r="AO353">
        <f t="shared" si="52"/>
        <v>7</v>
      </c>
      <c r="AP353">
        <f t="shared" si="53"/>
        <v>5</v>
      </c>
      <c r="AQ353">
        <f t="shared" si="54"/>
        <v>7</v>
      </c>
      <c r="AR353">
        <f t="shared" si="55"/>
        <v>7</v>
      </c>
      <c r="AS353">
        <f t="shared" si="56"/>
        <v>7</v>
      </c>
      <c r="AT353">
        <f t="shared" si="57"/>
        <v>7</v>
      </c>
      <c r="AU353">
        <f t="shared" si="58"/>
        <v>7</v>
      </c>
      <c r="AV353">
        <f t="shared" si="59"/>
        <v>7</v>
      </c>
      <c r="AW353">
        <f t="shared" si="60"/>
        <v>7</v>
      </c>
      <c r="AX353">
        <f t="shared" si="61"/>
        <v>7</v>
      </c>
      <c r="AY353">
        <f t="shared" si="62"/>
        <v>7</v>
      </c>
    </row>
    <row r="354" spans="38:51" x14ac:dyDescent="0.25">
      <c r="AL354" s="19" t="s">
        <v>327</v>
      </c>
      <c r="AM354">
        <f>COUNTIF($AM70:$AS70,"&gt;=95%")</f>
        <v>7</v>
      </c>
      <c r="AN354">
        <f>COUNTIF($AU70:$BA70,"&gt;=95%")</f>
        <v>4</v>
      </c>
      <c r="AO354">
        <f t="shared" si="52"/>
        <v>5</v>
      </c>
      <c r="AP354">
        <f t="shared" si="53"/>
        <v>3</v>
      </c>
      <c r="AQ354">
        <f t="shared" si="54"/>
        <v>2</v>
      </c>
      <c r="AR354">
        <f t="shared" si="55"/>
        <v>2</v>
      </c>
      <c r="AS354">
        <f t="shared" si="56"/>
        <v>4</v>
      </c>
      <c r="AT354">
        <f t="shared" si="57"/>
        <v>3</v>
      </c>
      <c r="AU354">
        <f t="shared" si="58"/>
        <v>1</v>
      </c>
      <c r="AV354">
        <f t="shared" si="59"/>
        <v>2</v>
      </c>
      <c r="AW354">
        <f t="shared" si="60"/>
        <v>6</v>
      </c>
      <c r="AX354">
        <f t="shared" si="61"/>
        <v>3</v>
      </c>
      <c r="AY354">
        <f t="shared" si="62"/>
        <v>2</v>
      </c>
    </row>
    <row r="355" spans="38:51" x14ac:dyDescent="0.25">
      <c r="AL355" s="19" t="s">
        <v>123</v>
      </c>
      <c r="AM355">
        <f t="shared" si="51"/>
        <v>7</v>
      </c>
      <c r="AN355">
        <f t="shared" si="63"/>
        <v>7</v>
      </c>
      <c r="AO355">
        <f t="shared" si="52"/>
        <v>5</v>
      </c>
      <c r="AP355">
        <f t="shared" si="53"/>
        <v>2</v>
      </c>
      <c r="AQ355">
        <f t="shared" si="54"/>
        <v>6</v>
      </c>
      <c r="AR355">
        <f t="shared" si="55"/>
        <v>4</v>
      </c>
      <c r="AS355">
        <f t="shared" si="56"/>
        <v>3</v>
      </c>
      <c r="AT355">
        <f t="shared" si="57"/>
        <v>4</v>
      </c>
      <c r="AU355">
        <f t="shared" si="58"/>
        <v>7</v>
      </c>
      <c r="AV355">
        <f t="shared" si="59"/>
        <v>5</v>
      </c>
      <c r="AW355">
        <f t="shared" si="60"/>
        <v>6</v>
      </c>
      <c r="AX355">
        <f t="shared" si="61"/>
        <v>6</v>
      </c>
      <c r="AY355">
        <f t="shared" si="62"/>
        <v>6</v>
      </c>
    </row>
    <row r="356" spans="38:51" x14ac:dyDescent="0.25">
      <c r="AL356" s="19" t="s">
        <v>124</v>
      </c>
      <c r="AM356">
        <f t="shared" si="51"/>
        <v>3</v>
      </c>
      <c r="AN356">
        <f t="shared" si="63"/>
        <v>1</v>
      </c>
      <c r="AO356">
        <f t="shared" si="52"/>
        <v>3</v>
      </c>
      <c r="AP356">
        <f t="shared" si="53"/>
        <v>0</v>
      </c>
      <c r="AQ356">
        <f t="shared" si="54"/>
        <v>1</v>
      </c>
      <c r="AR356">
        <f t="shared" si="55"/>
        <v>1</v>
      </c>
      <c r="AS356">
        <f t="shared" si="56"/>
        <v>3</v>
      </c>
      <c r="AT356">
        <f t="shared" si="57"/>
        <v>0</v>
      </c>
      <c r="AU356">
        <f t="shared" si="58"/>
        <v>1</v>
      </c>
      <c r="AV356">
        <f t="shared" si="59"/>
        <v>1</v>
      </c>
      <c r="AW356">
        <f t="shared" si="60"/>
        <v>0</v>
      </c>
      <c r="AX356">
        <f t="shared" si="61"/>
        <v>0</v>
      </c>
      <c r="AY356">
        <f t="shared" si="62"/>
        <v>1</v>
      </c>
    </row>
    <row r="357" spans="38:51" x14ac:dyDescent="0.25">
      <c r="AL357" s="19" t="s">
        <v>125</v>
      </c>
      <c r="AM357">
        <f t="shared" ref="AM357:AM420" si="64">COUNTIF($AM73:$AS73,"&gt;=95%")</f>
        <v>5</v>
      </c>
      <c r="AN357">
        <f t="shared" ref="AN357:AN420" si="65">COUNTIF($AU73:$BA73,"&gt;=95%")</f>
        <v>6</v>
      </c>
      <c r="AO357">
        <f t="shared" ref="AO357:AO420" si="66">COUNTIF($BC73:$BI73,"&gt;=95%")</f>
        <v>4</v>
      </c>
      <c r="AP357">
        <f t="shared" ref="AP357:AP420" si="67">COUNTIF($BK73:$BQ73,"&gt;=95%")</f>
        <v>0</v>
      </c>
      <c r="AQ357">
        <f t="shared" ref="AQ357:AQ420" si="68">COUNTIF($BS73:$BY73,"&gt;=95%")</f>
        <v>7</v>
      </c>
      <c r="AR357">
        <f t="shared" ref="AR357:AR420" si="69">COUNTIF($CA73:$CG73,"&gt;=95%")</f>
        <v>7</v>
      </c>
      <c r="AS357">
        <f t="shared" ref="AS357:AS420" si="70">COUNTIF($CI73:$CO73,"&gt;=95%")</f>
        <v>7</v>
      </c>
      <c r="AT357">
        <f t="shared" ref="AT357:AT420" si="71">COUNTIF($CQ73:$CW73,"&gt;=95%")</f>
        <v>4</v>
      </c>
      <c r="AU357">
        <f t="shared" ref="AU357:AU420" si="72">COUNTIF($CY73:$DE73,"&gt;=95%")</f>
        <v>2</v>
      </c>
      <c r="AV357">
        <f t="shared" ref="AV357:AV420" si="73">COUNTIF($DG73:$DM73,"&gt;=95%")</f>
        <v>3</v>
      </c>
      <c r="AW357">
        <f t="shared" ref="AW357:AW420" si="74">COUNTIF($DO73:$DU73,"&gt;=95%")</f>
        <v>3</v>
      </c>
      <c r="AX357">
        <f t="shared" ref="AX357:AX420" si="75">COUNTIF($DW73:$EC73,"&gt;=95%")</f>
        <v>5</v>
      </c>
      <c r="AY357">
        <f t="shared" ref="AY357:AY420" si="76">COUNTIF($EE73:$EK73,"&gt;=95%")</f>
        <v>4</v>
      </c>
    </row>
    <row r="358" spans="38:51" x14ac:dyDescent="0.25">
      <c r="AL358" s="19" t="s">
        <v>126</v>
      </c>
      <c r="AM358">
        <f t="shared" si="64"/>
        <v>7</v>
      </c>
      <c r="AN358">
        <f t="shared" si="65"/>
        <v>7</v>
      </c>
      <c r="AO358">
        <f t="shared" si="66"/>
        <v>7</v>
      </c>
      <c r="AP358">
        <f t="shared" si="67"/>
        <v>7</v>
      </c>
      <c r="AQ358">
        <f t="shared" si="68"/>
        <v>7</v>
      </c>
      <c r="AR358">
        <f t="shared" si="69"/>
        <v>7</v>
      </c>
      <c r="AS358">
        <f t="shared" si="70"/>
        <v>7</v>
      </c>
      <c r="AT358">
        <f t="shared" si="71"/>
        <v>7</v>
      </c>
      <c r="AU358">
        <f t="shared" si="72"/>
        <v>7</v>
      </c>
      <c r="AV358">
        <f t="shared" si="73"/>
        <v>7</v>
      </c>
      <c r="AW358">
        <f t="shared" si="74"/>
        <v>7</v>
      </c>
      <c r="AX358">
        <f t="shared" si="75"/>
        <v>7</v>
      </c>
      <c r="AY358">
        <f t="shared" si="76"/>
        <v>7</v>
      </c>
    </row>
    <row r="359" spans="38:51" x14ac:dyDescent="0.25">
      <c r="AL359" s="19" t="s">
        <v>127</v>
      </c>
      <c r="AM359">
        <f t="shared" si="64"/>
        <v>0</v>
      </c>
      <c r="AN359">
        <f t="shared" si="65"/>
        <v>0</v>
      </c>
      <c r="AO359">
        <f t="shared" si="66"/>
        <v>0</v>
      </c>
      <c r="AP359">
        <f t="shared" si="67"/>
        <v>0</v>
      </c>
      <c r="AQ359">
        <f t="shared" si="68"/>
        <v>0</v>
      </c>
      <c r="AR359">
        <f t="shared" si="69"/>
        <v>0</v>
      </c>
      <c r="AS359">
        <f t="shared" si="70"/>
        <v>0</v>
      </c>
      <c r="AT359">
        <f t="shared" si="71"/>
        <v>0</v>
      </c>
      <c r="AU359">
        <f t="shared" si="72"/>
        <v>0</v>
      </c>
      <c r="AV359">
        <f t="shared" si="73"/>
        <v>0</v>
      </c>
      <c r="AW359">
        <f t="shared" si="74"/>
        <v>0</v>
      </c>
      <c r="AX359">
        <f t="shared" si="75"/>
        <v>0</v>
      </c>
      <c r="AY359">
        <f t="shared" si="76"/>
        <v>1</v>
      </c>
    </row>
    <row r="360" spans="38:51" x14ac:dyDescent="0.25">
      <c r="AL360" s="19" t="s">
        <v>128</v>
      </c>
      <c r="AM360">
        <f t="shared" si="64"/>
        <v>6</v>
      </c>
      <c r="AN360">
        <f t="shared" si="65"/>
        <v>5</v>
      </c>
      <c r="AO360">
        <f t="shared" si="66"/>
        <v>4</v>
      </c>
      <c r="AP360">
        <f t="shared" si="67"/>
        <v>1</v>
      </c>
      <c r="AQ360">
        <f t="shared" si="68"/>
        <v>3</v>
      </c>
      <c r="AR360">
        <f t="shared" si="69"/>
        <v>2</v>
      </c>
      <c r="AS360">
        <f t="shared" si="70"/>
        <v>4</v>
      </c>
      <c r="AT360">
        <f t="shared" si="71"/>
        <v>0</v>
      </c>
      <c r="AU360">
        <f t="shared" si="72"/>
        <v>1</v>
      </c>
      <c r="AV360">
        <f t="shared" si="73"/>
        <v>2</v>
      </c>
      <c r="AW360">
        <f t="shared" si="74"/>
        <v>2</v>
      </c>
      <c r="AX360">
        <f t="shared" si="75"/>
        <v>3</v>
      </c>
      <c r="AY360">
        <f t="shared" si="76"/>
        <v>5</v>
      </c>
    </row>
    <row r="361" spans="38:51" x14ac:dyDescent="0.25">
      <c r="AL361" s="19" t="s">
        <v>129</v>
      </c>
      <c r="AM361">
        <f t="shared" si="64"/>
        <v>0</v>
      </c>
      <c r="AN361">
        <f t="shared" si="65"/>
        <v>0</v>
      </c>
      <c r="AO361">
        <f t="shared" si="66"/>
        <v>0</v>
      </c>
      <c r="AP361">
        <f t="shared" si="67"/>
        <v>0</v>
      </c>
      <c r="AQ361">
        <f t="shared" si="68"/>
        <v>0</v>
      </c>
      <c r="AR361">
        <f t="shared" si="69"/>
        <v>0</v>
      </c>
      <c r="AS361">
        <f t="shared" si="70"/>
        <v>0</v>
      </c>
      <c r="AT361">
        <f t="shared" si="71"/>
        <v>0</v>
      </c>
      <c r="AU361">
        <f t="shared" si="72"/>
        <v>0</v>
      </c>
      <c r="AV361">
        <f t="shared" si="73"/>
        <v>0</v>
      </c>
      <c r="AW361">
        <f t="shared" si="74"/>
        <v>0</v>
      </c>
      <c r="AX361">
        <f t="shared" si="75"/>
        <v>0</v>
      </c>
      <c r="AY361">
        <f t="shared" si="76"/>
        <v>0</v>
      </c>
    </row>
    <row r="362" spans="38:51" x14ac:dyDescent="0.25">
      <c r="AL362" s="19" t="s">
        <v>130</v>
      </c>
      <c r="AM362">
        <f t="shared" si="64"/>
        <v>1</v>
      </c>
      <c r="AN362">
        <f t="shared" si="65"/>
        <v>2</v>
      </c>
      <c r="AO362">
        <f t="shared" si="66"/>
        <v>0</v>
      </c>
      <c r="AP362">
        <f t="shared" si="67"/>
        <v>0</v>
      </c>
      <c r="AQ362">
        <f t="shared" si="68"/>
        <v>0</v>
      </c>
      <c r="AR362">
        <f t="shared" si="69"/>
        <v>6</v>
      </c>
      <c r="AS362">
        <f t="shared" si="70"/>
        <v>4</v>
      </c>
      <c r="AT362">
        <f t="shared" si="71"/>
        <v>0</v>
      </c>
      <c r="AU362">
        <f t="shared" si="72"/>
        <v>3</v>
      </c>
      <c r="AV362">
        <f t="shared" si="73"/>
        <v>1</v>
      </c>
      <c r="AW362">
        <f t="shared" si="74"/>
        <v>2</v>
      </c>
      <c r="AX362">
        <f t="shared" si="75"/>
        <v>1</v>
      </c>
      <c r="AY362">
        <f t="shared" si="76"/>
        <v>1</v>
      </c>
    </row>
    <row r="363" spans="38:51" x14ac:dyDescent="0.25">
      <c r="AL363" s="19" t="s">
        <v>131</v>
      </c>
      <c r="AM363">
        <f t="shared" si="64"/>
        <v>6</v>
      </c>
      <c r="AN363">
        <f t="shared" si="65"/>
        <v>7</v>
      </c>
      <c r="AO363">
        <f t="shared" si="66"/>
        <v>6</v>
      </c>
      <c r="AP363">
        <f t="shared" si="67"/>
        <v>0</v>
      </c>
      <c r="AQ363">
        <f t="shared" si="68"/>
        <v>5</v>
      </c>
      <c r="AR363">
        <f t="shared" si="69"/>
        <v>3</v>
      </c>
      <c r="AS363">
        <f t="shared" si="70"/>
        <v>6</v>
      </c>
      <c r="AT363">
        <f t="shared" si="71"/>
        <v>5</v>
      </c>
      <c r="AU363">
        <f t="shared" si="72"/>
        <v>6</v>
      </c>
      <c r="AV363">
        <f t="shared" si="73"/>
        <v>6</v>
      </c>
      <c r="AW363">
        <f t="shared" si="74"/>
        <v>5</v>
      </c>
      <c r="AX363">
        <f t="shared" si="75"/>
        <v>1</v>
      </c>
      <c r="AY363">
        <f t="shared" si="76"/>
        <v>4</v>
      </c>
    </row>
    <row r="364" spans="38:51" x14ac:dyDescent="0.25">
      <c r="AL364" s="19" t="s">
        <v>132</v>
      </c>
      <c r="AM364">
        <f t="shared" si="64"/>
        <v>0</v>
      </c>
      <c r="AN364">
        <f t="shared" si="65"/>
        <v>0</v>
      </c>
      <c r="AO364">
        <f t="shared" si="66"/>
        <v>0</v>
      </c>
      <c r="AP364">
        <f t="shared" si="67"/>
        <v>1</v>
      </c>
      <c r="AQ364">
        <f t="shared" si="68"/>
        <v>1</v>
      </c>
      <c r="AR364">
        <f t="shared" si="69"/>
        <v>2</v>
      </c>
      <c r="AS364">
        <f t="shared" si="70"/>
        <v>0</v>
      </c>
      <c r="AT364">
        <f t="shared" si="71"/>
        <v>0</v>
      </c>
      <c r="AU364">
        <f t="shared" si="72"/>
        <v>0</v>
      </c>
      <c r="AV364">
        <f t="shared" si="73"/>
        <v>0</v>
      </c>
      <c r="AW364">
        <f t="shared" si="74"/>
        <v>0</v>
      </c>
      <c r="AX364">
        <f t="shared" si="75"/>
        <v>0</v>
      </c>
      <c r="AY364">
        <f t="shared" si="76"/>
        <v>0</v>
      </c>
    </row>
    <row r="365" spans="38:51" x14ac:dyDescent="0.25">
      <c r="AL365" s="19" t="s">
        <v>133</v>
      </c>
      <c r="AM365">
        <f t="shared" si="64"/>
        <v>6</v>
      </c>
      <c r="AN365">
        <f t="shared" si="65"/>
        <v>5</v>
      </c>
      <c r="AO365">
        <f t="shared" si="66"/>
        <v>4</v>
      </c>
      <c r="AP365">
        <f t="shared" si="67"/>
        <v>2</v>
      </c>
      <c r="AQ365">
        <f t="shared" si="68"/>
        <v>4</v>
      </c>
      <c r="AR365">
        <f t="shared" si="69"/>
        <v>7</v>
      </c>
      <c r="AS365">
        <f t="shared" si="70"/>
        <v>6</v>
      </c>
      <c r="AT365">
        <f t="shared" si="71"/>
        <v>6</v>
      </c>
      <c r="AU365">
        <f t="shared" si="72"/>
        <v>6</v>
      </c>
      <c r="AV365">
        <f t="shared" si="73"/>
        <v>4</v>
      </c>
      <c r="AW365">
        <f t="shared" si="74"/>
        <v>4</v>
      </c>
      <c r="AX365">
        <f t="shared" si="75"/>
        <v>4</v>
      </c>
      <c r="AY365">
        <f t="shared" si="76"/>
        <v>0</v>
      </c>
    </row>
    <row r="366" spans="38:51" x14ac:dyDescent="0.25">
      <c r="AL366" s="19" t="s">
        <v>134</v>
      </c>
      <c r="AM366">
        <f t="shared" si="64"/>
        <v>7</v>
      </c>
      <c r="AN366">
        <f t="shared" si="65"/>
        <v>5</v>
      </c>
      <c r="AO366">
        <f t="shared" si="66"/>
        <v>4</v>
      </c>
      <c r="AP366">
        <f t="shared" si="67"/>
        <v>2</v>
      </c>
      <c r="AQ366">
        <f t="shared" si="68"/>
        <v>7</v>
      </c>
      <c r="AR366">
        <f t="shared" si="69"/>
        <v>7</v>
      </c>
      <c r="AS366">
        <f t="shared" si="70"/>
        <v>7</v>
      </c>
      <c r="AT366">
        <f t="shared" si="71"/>
        <v>6</v>
      </c>
      <c r="AU366">
        <f t="shared" si="72"/>
        <v>7</v>
      </c>
      <c r="AV366">
        <f t="shared" si="73"/>
        <v>6</v>
      </c>
      <c r="AW366">
        <f t="shared" si="74"/>
        <v>7</v>
      </c>
      <c r="AX366">
        <f t="shared" si="75"/>
        <v>7</v>
      </c>
      <c r="AY366">
        <f t="shared" si="76"/>
        <v>7</v>
      </c>
    </row>
    <row r="367" spans="38:51" x14ac:dyDescent="0.25">
      <c r="AL367" s="19" t="s">
        <v>135</v>
      </c>
      <c r="AM367">
        <f t="shared" si="64"/>
        <v>4</v>
      </c>
      <c r="AN367">
        <f t="shared" si="65"/>
        <v>6</v>
      </c>
      <c r="AO367">
        <f t="shared" si="66"/>
        <v>5</v>
      </c>
      <c r="AP367">
        <f t="shared" si="67"/>
        <v>4</v>
      </c>
      <c r="AQ367">
        <f t="shared" si="68"/>
        <v>6</v>
      </c>
      <c r="AR367">
        <f t="shared" si="69"/>
        <v>4</v>
      </c>
      <c r="AS367">
        <f t="shared" si="70"/>
        <v>4</v>
      </c>
      <c r="AT367">
        <f t="shared" si="71"/>
        <v>3</v>
      </c>
      <c r="AU367">
        <f t="shared" si="72"/>
        <v>4</v>
      </c>
      <c r="AV367">
        <f t="shared" si="73"/>
        <v>4</v>
      </c>
      <c r="AW367">
        <f t="shared" si="74"/>
        <v>2</v>
      </c>
      <c r="AX367">
        <f t="shared" si="75"/>
        <v>5</v>
      </c>
      <c r="AY367">
        <f t="shared" si="76"/>
        <v>6</v>
      </c>
    </row>
    <row r="368" spans="38:51" x14ac:dyDescent="0.25">
      <c r="AL368" s="19" t="s">
        <v>136</v>
      </c>
      <c r="AM368">
        <f t="shared" si="64"/>
        <v>0</v>
      </c>
      <c r="AN368">
        <f t="shared" si="65"/>
        <v>0</v>
      </c>
      <c r="AO368">
        <f t="shared" si="66"/>
        <v>0</v>
      </c>
      <c r="AP368">
        <f t="shared" si="67"/>
        <v>0</v>
      </c>
      <c r="AQ368">
        <f t="shared" si="68"/>
        <v>0</v>
      </c>
      <c r="AR368">
        <f t="shared" si="69"/>
        <v>0</v>
      </c>
      <c r="AS368">
        <f t="shared" si="70"/>
        <v>0</v>
      </c>
      <c r="AT368">
        <f t="shared" si="71"/>
        <v>0</v>
      </c>
      <c r="AU368">
        <f t="shared" si="72"/>
        <v>0</v>
      </c>
      <c r="AV368">
        <f t="shared" si="73"/>
        <v>0</v>
      </c>
      <c r="AW368">
        <f t="shared" si="74"/>
        <v>0</v>
      </c>
      <c r="AX368">
        <f t="shared" si="75"/>
        <v>0</v>
      </c>
      <c r="AY368">
        <f t="shared" si="76"/>
        <v>0</v>
      </c>
    </row>
    <row r="369" spans="38:51" x14ac:dyDescent="0.25">
      <c r="AL369" s="19" t="s">
        <v>137</v>
      </c>
      <c r="AM369">
        <f t="shared" si="64"/>
        <v>4</v>
      </c>
      <c r="AN369">
        <f t="shared" si="65"/>
        <v>2</v>
      </c>
      <c r="AO369">
        <f t="shared" si="66"/>
        <v>0</v>
      </c>
      <c r="AP369">
        <f t="shared" si="67"/>
        <v>0</v>
      </c>
      <c r="AQ369">
        <f t="shared" si="68"/>
        <v>0</v>
      </c>
      <c r="AR369">
        <f t="shared" si="69"/>
        <v>2</v>
      </c>
      <c r="AS369">
        <f t="shared" si="70"/>
        <v>0</v>
      </c>
      <c r="AT369">
        <f t="shared" si="71"/>
        <v>0</v>
      </c>
      <c r="AU369">
        <f t="shared" si="72"/>
        <v>2</v>
      </c>
      <c r="AV369">
        <f t="shared" si="73"/>
        <v>3</v>
      </c>
      <c r="AW369">
        <f t="shared" si="74"/>
        <v>0</v>
      </c>
      <c r="AX369">
        <f t="shared" si="75"/>
        <v>2</v>
      </c>
      <c r="AY369">
        <f t="shared" si="76"/>
        <v>1</v>
      </c>
    </row>
    <row r="370" spans="38:51" x14ac:dyDescent="0.25">
      <c r="AL370" s="19" t="s">
        <v>138</v>
      </c>
      <c r="AM370">
        <f t="shared" si="64"/>
        <v>7</v>
      </c>
      <c r="AN370">
        <f t="shared" si="65"/>
        <v>7</v>
      </c>
      <c r="AO370">
        <f t="shared" si="66"/>
        <v>7</v>
      </c>
      <c r="AP370">
        <f t="shared" si="67"/>
        <v>2</v>
      </c>
      <c r="AQ370">
        <f t="shared" si="68"/>
        <v>7</v>
      </c>
      <c r="AR370">
        <f t="shared" si="69"/>
        <v>7</v>
      </c>
      <c r="AS370">
        <f t="shared" si="70"/>
        <v>7</v>
      </c>
      <c r="AT370">
        <f t="shared" si="71"/>
        <v>7</v>
      </c>
      <c r="AU370">
        <f t="shared" si="72"/>
        <v>7</v>
      </c>
      <c r="AV370">
        <f t="shared" si="73"/>
        <v>6</v>
      </c>
      <c r="AW370">
        <f t="shared" si="74"/>
        <v>7</v>
      </c>
      <c r="AX370">
        <f t="shared" si="75"/>
        <v>7</v>
      </c>
      <c r="AY370">
        <f t="shared" si="76"/>
        <v>7</v>
      </c>
    </row>
    <row r="371" spans="38:51" x14ac:dyDescent="0.25">
      <c r="AL371" s="19" t="s">
        <v>291</v>
      </c>
      <c r="AM371">
        <f t="shared" si="64"/>
        <v>1</v>
      </c>
      <c r="AN371">
        <f t="shared" si="65"/>
        <v>5</v>
      </c>
      <c r="AO371">
        <f t="shared" si="66"/>
        <v>4</v>
      </c>
      <c r="AP371">
        <f t="shared" si="67"/>
        <v>1</v>
      </c>
      <c r="AQ371">
        <f t="shared" si="68"/>
        <v>3</v>
      </c>
      <c r="AR371">
        <f t="shared" si="69"/>
        <v>1</v>
      </c>
      <c r="AS371">
        <f t="shared" si="70"/>
        <v>6</v>
      </c>
      <c r="AT371">
        <f t="shared" si="71"/>
        <v>5</v>
      </c>
      <c r="AU371">
        <f t="shared" si="72"/>
        <v>7</v>
      </c>
      <c r="AV371">
        <f t="shared" si="73"/>
        <v>5</v>
      </c>
      <c r="AW371">
        <f t="shared" si="74"/>
        <v>5</v>
      </c>
      <c r="AX371">
        <f t="shared" si="75"/>
        <v>6</v>
      </c>
      <c r="AY371">
        <f t="shared" si="76"/>
        <v>6</v>
      </c>
    </row>
    <row r="372" spans="38:51" x14ac:dyDescent="0.25">
      <c r="AL372" s="19" t="s">
        <v>139</v>
      </c>
      <c r="AM372">
        <f t="shared" si="64"/>
        <v>5</v>
      </c>
      <c r="AN372">
        <f t="shared" si="65"/>
        <v>5</v>
      </c>
      <c r="AO372">
        <f t="shared" si="66"/>
        <v>4</v>
      </c>
      <c r="AP372">
        <f t="shared" si="67"/>
        <v>1</v>
      </c>
      <c r="AQ372">
        <f t="shared" si="68"/>
        <v>4</v>
      </c>
      <c r="AR372">
        <f t="shared" si="69"/>
        <v>7</v>
      </c>
      <c r="AS372">
        <f t="shared" si="70"/>
        <v>5</v>
      </c>
      <c r="AT372">
        <f t="shared" si="71"/>
        <v>4</v>
      </c>
      <c r="AU372">
        <f t="shared" si="72"/>
        <v>7</v>
      </c>
      <c r="AV372">
        <f t="shared" si="73"/>
        <v>4</v>
      </c>
      <c r="AW372">
        <f t="shared" si="74"/>
        <v>3</v>
      </c>
      <c r="AX372">
        <f t="shared" si="75"/>
        <v>5</v>
      </c>
      <c r="AY372">
        <f t="shared" si="76"/>
        <v>7</v>
      </c>
    </row>
    <row r="373" spans="38:51" x14ac:dyDescent="0.25">
      <c r="AL373" s="19" t="s">
        <v>140</v>
      </c>
      <c r="AM373">
        <f t="shared" si="64"/>
        <v>0</v>
      </c>
      <c r="AN373">
        <f t="shared" si="65"/>
        <v>0</v>
      </c>
      <c r="AO373">
        <f t="shared" si="66"/>
        <v>1</v>
      </c>
      <c r="AP373">
        <f t="shared" si="67"/>
        <v>0</v>
      </c>
      <c r="AQ373">
        <f t="shared" si="68"/>
        <v>0</v>
      </c>
      <c r="AR373">
        <f t="shared" si="69"/>
        <v>0</v>
      </c>
      <c r="AS373">
        <f t="shared" si="70"/>
        <v>0</v>
      </c>
      <c r="AT373">
        <f t="shared" si="71"/>
        <v>0</v>
      </c>
      <c r="AU373">
        <f t="shared" si="72"/>
        <v>0</v>
      </c>
      <c r="AV373">
        <f t="shared" si="73"/>
        <v>0</v>
      </c>
      <c r="AW373">
        <f t="shared" si="74"/>
        <v>1</v>
      </c>
      <c r="AX373">
        <f t="shared" si="75"/>
        <v>0</v>
      </c>
      <c r="AY373">
        <f t="shared" si="76"/>
        <v>0</v>
      </c>
    </row>
    <row r="374" spans="38:51" x14ac:dyDescent="0.25">
      <c r="AL374" s="19" t="s">
        <v>141</v>
      </c>
      <c r="AM374">
        <f t="shared" si="64"/>
        <v>5</v>
      </c>
      <c r="AN374">
        <f t="shared" si="65"/>
        <v>3</v>
      </c>
      <c r="AO374">
        <f t="shared" si="66"/>
        <v>7</v>
      </c>
      <c r="AP374">
        <f t="shared" si="67"/>
        <v>4</v>
      </c>
      <c r="AQ374">
        <f t="shared" si="68"/>
        <v>5</v>
      </c>
      <c r="AR374">
        <f t="shared" si="69"/>
        <v>7</v>
      </c>
      <c r="AS374">
        <f t="shared" si="70"/>
        <v>6</v>
      </c>
      <c r="AT374">
        <f t="shared" si="71"/>
        <v>4</v>
      </c>
      <c r="AU374">
        <f t="shared" si="72"/>
        <v>7</v>
      </c>
      <c r="AV374">
        <f t="shared" si="73"/>
        <v>6</v>
      </c>
      <c r="AW374">
        <f t="shared" si="74"/>
        <v>6</v>
      </c>
      <c r="AX374">
        <f t="shared" si="75"/>
        <v>3</v>
      </c>
      <c r="AY374">
        <f t="shared" si="76"/>
        <v>6</v>
      </c>
    </row>
    <row r="375" spans="38:51" x14ac:dyDescent="0.25">
      <c r="AL375" s="19" t="s">
        <v>142</v>
      </c>
      <c r="AM375">
        <f t="shared" si="64"/>
        <v>6</v>
      </c>
      <c r="AN375">
        <f t="shared" si="65"/>
        <v>7</v>
      </c>
      <c r="AO375">
        <f t="shared" si="66"/>
        <v>7</v>
      </c>
      <c r="AP375">
        <f t="shared" si="67"/>
        <v>2</v>
      </c>
      <c r="AQ375">
        <f t="shared" si="68"/>
        <v>5</v>
      </c>
      <c r="AR375">
        <f t="shared" si="69"/>
        <v>0</v>
      </c>
      <c r="AS375">
        <f t="shared" si="70"/>
        <v>6</v>
      </c>
      <c r="AT375">
        <f t="shared" si="71"/>
        <v>1</v>
      </c>
      <c r="AU375">
        <f t="shared" si="72"/>
        <v>6</v>
      </c>
      <c r="AV375">
        <f t="shared" si="73"/>
        <v>4</v>
      </c>
      <c r="AW375">
        <f t="shared" si="74"/>
        <v>0</v>
      </c>
      <c r="AX375">
        <f t="shared" si="75"/>
        <v>0</v>
      </c>
      <c r="AY375">
        <f t="shared" si="76"/>
        <v>0</v>
      </c>
    </row>
    <row r="376" spans="38:51" x14ac:dyDescent="0.25">
      <c r="AL376" s="19" t="s">
        <v>143</v>
      </c>
      <c r="AM376">
        <f t="shared" si="64"/>
        <v>0</v>
      </c>
      <c r="AN376">
        <f t="shared" si="65"/>
        <v>0</v>
      </c>
      <c r="AO376">
        <f t="shared" si="66"/>
        <v>0</v>
      </c>
      <c r="AP376">
        <f t="shared" si="67"/>
        <v>0</v>
      </c>
      <c r="AQ376">
        <f t="shared" si="68"/>
        <v>0</v>
      </c>
      <c r="AR376">
        <f t="shared" si="69"/>
        <v>0</v>
      </c>
      <c r="AS376">
        <f t="shared" si="70"/>
        <v>0</v>
      </c>
      <c r="AT376">
        <f t="shared" si="71"/>
        <v>0</v>
      </c>
      <c r="AU376">
        <f t="shared" si="72"/>
        <v>0</v>
      </c>
      <c r="AV376">
        <f t="shared" si="73"/>
        <v>0</v>
      </c>
      <c r="AW376">
        <f t="shared" si="74"/>
        <v>0</v>
      </c>
      <c r="AX376">
        <f t="shared" si="75"/>
        <v>0</v>
      </c>
      <c r="AY376">
        <f t="shared" si="76"/>
        <v>0</v>
      </c>
    </row>
    <row r="377" spans="38:51" x14ac:dyDescent="0.25">
      <c r="AL377" s="19" t="s">
        <v>144</v>
      </c>
      <c r="AM377">
        <f t="shared" si="64"/>
        <v>7</v>
      </c>
      <c r="AN377">
        <f t="shared" si="65"/>
        <v>4</v>
      </c>
      <c r="AO377">
        <f t="shared" si="66"/>
        <v>1</v>
      </c>
      <c r="AP377">
        <f t="shared" si="67"/>
        <v>1</v>
      </c>
      <c r="AQ377">
        <f t="shared" si="68"/>
        <v>3</v>
      </c>
      <c r="AR377">
        <f t="shared" si="69"/>
        <v>7</v>
      </c>
      <c r="AS377">
        <f t="shared" si="70"/>
        <v>4</v>
      </c>
      <c r="AT377">
        <f t="shared" si="71"/>
        <v>7</v>
      </c>
      <c r="AU377">
        <f t="shared" si="72"/>
        <v>7</v>
      </c>
      <c r="AV377">
        <f t="shared" si="73"/>
        <v>7</v>
      </c>
      <c r="AW377">
        <f t="shared" si="74"/>
        <v>7</v>
      </c>
      <c r="AX377">
        <f t="shared" si="75"/>
        <v>5</v>
      </c>
      <c r="AY377">
        <f t="shared" si="76"/>
        <v>5</v>
      </c>
    </row>
    <row r="378" spans="38:51" x14ac:dyDescent="0.25">
      <c r="AL378" s="19" t="s">
        <v>145</v>
      </c>
      <c r="AM378">
        <f t="shared" si="64"/>
        <v>1</v>
      </c>
      <c r="AN378">
        <f t="shared" si="65"/>
        <v>0</v>
      </c>
      <c r="AO378">
        <f t="shared" si="66"/>
        <v>3</v>
      </c>
      <c r="AP378">
        <f t="shared" si="67"/>
        <v>1</v>
      </c>
      <c r="AQ378">
        <f t="shared" si="68"/>
        <v>0</v>
      </c>
      <c r="AR378">
        <f t="shared" si="69"/>
        <v>2</v>
      </c>
      <c r="AS378">
        <f t="shared" si="70"/>
        <v>4</v>
      </c>
      <c r="AT378">
        <f t="shared" si="71"/>
        <v>2</v>
      </c>
      <c r="AU378">
        <f t="shared" si="72"/>
        <v>4</v>
      </c>
      <c r="AV378">
        <f t="shared" si="73"/>
        <v>2</v>
      </c>
      <c r="AW378">
        <f t="shared" si="74"/>
        <v>0</v>
      </c>
      <c r="AX378">
        <f t="shared" si="75"/>
        <v>1</v>
      </c>
      <c r="AY378">
        <f t="shared" si="76"/>
        <v>3</v>
      </c>
    </row>
    <row r="379" spans="38:51" x14ac:dyDescent="0.25">
      <c r="AL379" s="19" t="s">
        <v>146</v>
      </c>
      <c r="AM379">
        <f t="shared" si="64"/>
        <v>0</v>
      </c>
      <c r="AN379">
        <f t="shared" si="65"/>
        <v>1</v>
      </c>
      <c r="AO379">
        <f t="shared" si="66"/>
        <v>0</v>
      </c>
      <c r="AP379">
        <f t="shared" si="67"/>
        <v>1</v>
      </c>
      <c r="AQ379">
        <f t="shared" si="68"/>
        <v>1</v>
      </c>
      <c r="AR379">
        <f t="shared" si="69"/>
        <v>1</v>
      </c>
      <c r="AS379">
        <f t="shared" si="70"/>
        <v>1</v>
      </c>
      <c r="AT379">
        <f t="shared" si="71"/>
        <v>0</v>
      </c>
      <c r="AU379">
        <f t="shared" si="72"/>
        <v>0</v>
      </c>
      <c r="AV379">
        <f t="shared" si="73"/>
        <v>0</v>
      </c>
      <c r="AW379">
        <f t="shared" si="74"/>
        <v>0</v>
      </c>
      <c r="AX379">
        <f t="shared" si="75"/>
        <v>0</v>
      </c>
      <c r="AY379">
        <f t="shared" si="76"/>
        <v>0</v>
      </c>
    </row>
    <row r="380" spans="38:51" x14ac:dyDescent="0.25">
      <c r="AL380" s="19" t="s">
        <v>147</v>
      </c>
      <c r="AM380">
        <f t="shared" si="64"/>
        <v>4</v>
      </c>
      <c r="AN380">
        <f t="shared" si="65"/>
        <v>4</v>
      </c>
      <c r="AO380">
        <f t="shared" si="66"/>
        <v>0</v>
      </c>
      <c r="AP380">
        <f t="shared" si="67"/>
        <v>0</v>
      </c>
      <c r="AQ380">
        <f t="shared" si="68"/>
        <v>0</v>
      </c>
      <c r="AR380">
        <f t="shared" si="69"/>
        <v>2</v>
      </c>
      <c r="AS380">
        <f t="shared" si="70"/>
        <v>3</v>
      </c>
      <c r="AT380">
        <f t="shared" si="71"/>
        <v>0</v>
      </c>
      <c r="AU380">
        <f t="shared" si="72"/>
        <v>1</v>
      </c>
      <c r="AV380">
        <f t="shared" si="73"/>
        <v>0</v>
      </c>
      <c r="AW380">
        <f t="shared" si="74"/>
        <v>0</v>
      </c>
      <c r="AX380">
        <f t="shared" si="75"/>
        <v>0</v>
      </c>
      <c r="AY380">
        <f t="shared" si="76"/>
        <v>0</v>
      </c>
    </row>
    <row r="381" spans="38:51" x14ac:dyDescent="0.25">
      <c r="AL381" s="19" t="s">
        <v>328</v>
      </c>
      <c r="AM381">
        <f t="shared" si="64"/>
        <v>0</v>
      </c>
      <c r="AN381">
        <f t="shared" si="65"/>
        <v>0</v>
      </c>
      <c r="AO381">
        <f t="shared" si="66"/>
        <v>0</v>
      </c>
      <c r="AP381">
        <f t="shared" si="67"/>
        <v>0</v>
      </c>
      <c r="AQ381">
        <f t="shared" si="68"/>
        <v>0</v>
      </c>
      <c r="AR381">
        <f t="shared" si="69"/>
        <v>0</v>
      </c>
      <c r="AS381">
        <f t="shared" si="70"/>
        <v>0</v>
      </c>
      <c r="AT381">
        <f t="shared" si="71"/>
        <v>0</v>
      </c>
      <c r="AU381">
        <f t="shared" si="72"/>
        <v>0</v>
      </c>
      <c r="AV381">
        <f t="shared" si="73"/>
        <v>0</v>
      </c>
      <c r="AW381">
        <f t="shared" si="74"/>
        <v>0</v>
      </c>
      <c r="AX381">
        <f t="shared" si="75"/>
        <v>0</v>
      </c>
      <c r="AY381">
        <f t="shared" si="76"/>
        <v>0</v>
      </c>
    </row>
    <row r="382" spans="38:51" x14ac:dyDescent="0.25">
      <c r="AL382" s="19" t="s">
        <v>148</v>
      </c>
      <c r="AM382">
        <f t="shared" si="64"/>
        <v>4</v>
      </c>
      <c r="AN382">
        <f t="shared" si="65"/>
        <v>3</v>
      </c>
      <c r="AO382">
        <f t="shared" si="66"/>
        <v>5</v>
      </c>
      <c r="AP382">
        <f t="shared" si="67"/>
        <v>0</v>
      </c>
      <c r="AQ382">
        <f t="shared" si="68"/>
        <v>6</v>
      </c>
      <c r="AR382">
        <f t="shared" si="69"/>
        <v>6</v>
      </c>
      <c r="AS382">
        <f t="shared" si="70"/>
        <v>5</v>
      </c>
      <c r="AT382">
        <f t="shared" si="71"/>
        <v>1</v>
      </c>
      <c r="AU382">
        <f t="shared" si="72"/>
        <v>1</v>
      </c>
      <c r="AV382">
        <f t="shared" si="73"/>
        <v>2</v>
      </c>
      <c r="AW382">
        <f t="shared" si="74"/>
        <v>4</v>
      </c>
      <c r="AX382">
        <f t="shared" si="75"/>
        <v>2</v>
      </c>
      <c r="AY382">
        <f t="shared" si="76"/>
        <v>0</v>
      </c>
    </row>
    <row r="383" spans="38:51" x14ac:dyDescent="0.25">
      <c r="AL383" s="19" t="s">
        <v>149</v>
      </c>
      <c r="AM383">
        <f t="shared" si="64"/>
        <v>6</v>
      </c>
      <c r="AN383">
        <f t="shared" si="65"/>
        <v>7</v>
      </c>
      <c r="AO383">
        <f t="shared" si="66"/>
        <v>5</v>
      </c>
      <c r="AP383">
        <f t="shared" si="67"/>
        <v>3</v>
      </c>
      <c r="AQ383">
        <f t="shared" si="68"/>
        <v>7</v>
      </c>
      <c r="AR383">
        <f t="shared" si="69"/>
        <v>7</v>
      </c>
      <c r="AS383">
        <f t="shared" si="70"/>
        <v>2</v>
      </c>
      <c r="AT383">
        <f t="shared" si="71"/>
        <v>1</v>
      </c>
      <c r="AU383">
        <f t="shared" si="72"/>
        <v>3</v>
      </c>
      <c r="AV383">
        <f t="shared" si="73"/>
        <v>2</v>
      </c>
      <c r="AW383">
        <f t="shared" si="74"/>
        <v>3</v>
      </c>
      <c r="AX383">
        <f t="shared" si="75"/>
        <v>3</v>
      </c>
      <c r="AY383">
        <f t="shared" si="76"/>
        <v>4</v>
      </c>
    </row>
    <row r="384" spans="38:51" x14ac:dyDescent="0.25">
      <c r="AL384" s="19" t="s">
        <v>150</v>
      </c>
      <c r="AM384">
        <f t="shared" si="64"/>
        <v>7</v>
      </c>
      <c r="AN384">
        <f t="shared" si="65"/>
        <v>6</v>
      </c>
      <c r="AO384">
        <f t="shared" si="66"/>
        <v>6</v>
      </c>
      <c r="AP384">
        <f t="shared" si="67"/>
        <v>2</v>
      </c>
      <c r="AQ384">
        <f t="shared" si="68"/>
        <v>6</v>
      </c>
      <c r="AR384">
        <f t="shared" si="69"/>
        <v>6</v>
      </c>
      <c r="AS384">
        <f t="shared" si="70"/>
        <v>3</v>
      </c>
      <c r="AT384">
        <f t="shared" si="71"/>
        <v>2</v>
      </c>
      <c r="AU384">
        <f t="shared" si="72"/>
        <v>4</v>
      </c>
      <c r="AV384">
        <f t="shared" si="73"/>
        <v>0</v>
      </c>
      <c r="AW384">
        <f t="shared" si="74"/>
        <v>3</v>
      </c>
      <c r="AX384">
        <f t="shared" si="75"/>
        <v>3</v>
      </c>
      <c r="AY384">
        <f t="shared" si="76"/>
        <v>5</v>
      </c>
    </row>
    <row r="385" spans="38:51" x14ac:dyDescent="0.25">
      <c r="AL385" s="19" t="s">
        <v>151</v>
      </c>
      <c r="AM385">
        <f t="shared" si="64"/>
        <v>6</v>
      </c>
      <c r="AN385">
        <f t="shared" si="65"/>
        <v>6</v>
      </c>
      <c r="AO385">
        <f t="shared" si="66"/>
        <v>3</v>
      </c>
      <c r="AP385">
        <f t="shared" si="67"/>
        <v>1</v>
      </c>
      <c r="AQ385">
        <f t="shared" si="68"/>
        <v>7</v>
      </c>
      <c r="AR385">
        <f t="shared" si="69"/>
        <v>6</v>
      </c>
      <c r="AS385">
        <f t="shared" si="70"/>
        <v>6</v>
      </c>
      <c r="AT385">
        <f t="shared" si="71"/>
        <v>5</v>
      </c>
      <c r="AU385">
        <f t="shared" si="72"/>
        <v>6</v>
      </c>
      <c r="AV385">
        <f t="shared" si="73"/>
        <v>6</v>
      </c>
      <c r="AW385">
        <f t="shared" si="74"/>
        <v>7</v>
      </c>
      <c r="AX385">
        <f t="shared" si="75"/>
        <v>7</v>
      </c>
      <c r="AY385">
        <f t="shared" si="76"/>
        <v>5</v>
      </c>
    </row>
    <row r="386" spans="38:51" x14ac:dyDescent="0.25">
      <c r="AL386" s="19" t="s">
        <v>152</v>
      </c>
      <c r="AM386">
        <f t="shared" si="64"/>
        <v>7</v>
      </c>
      <c r="AN386">
        <f t="shared" si="65"/>
        <v>7</v>
      </c>
      <c r="AO386">
        <f t="shared" si="66"/>
        <v>7</v>
      </c>
      <c r="AP386">
        <f t="shared" si="67"/>
        <v>1</v>
      </c>
      <c r="AQ386">
        <f t="shared" si="68"/>
        <v>7</v>
      </c>
      <c r="AR386">
        <f t="shared" si="69"/>
        <v>7</v>
      </c>
      <c r="AS386">
        <f t="shared" si="70"/>
        <v>7</v>
      </c>
      <c r="AT386">
        <f t="shared" si="71"/>
        <v>7</v>
      </c>
      <c r="AU386">
        <f t="shared" si="72"/>
        <v>7</v>
      </c>
      <c r="AV386">
        <f t="shared" si="73"/>
        <v>7</v>
      </c>
      <c r="AW386">
        <f t="shared" si="74"/>
        <v>5</v>
      </c>
      <c r="AX386">
        <f t="shared" si="75"/>
        <v>6</v>
      </c>
      <c r="AY386">
        <f t="shared" si="76"/>
        <v>5</v>
      </c>
    </row>
    <row r="387" spans="38:51" x14ac:dyDescent="0.25">
      <c r="AL387" s="19" t="s">
        <v>153</v>
      </c>
      <c r="AM387">
        <f t="shared" si="64"/>
        <v>6</v>
      </c>
      <c r="AN387">
        <f t="shared" si="65"/>
        <v>6</v>
      </c>
      <c r="AO387">
        <f t="shared" si="66"/>
        <v>4</v>
      </c>
      <c r="AP387">
        <f t="shared" si="67"/>
        <v>0</v>
      </c>
      <c r="AQ387">
        <f t="shared" si="68"/>
        <v>2</v>
      </c>
      <c r="AR387">
        <f t="shared" si="69"/>
        <v>4</v>
      </c>
      <c r="AS387">
        <f t="shared" si="70"/>
        <v>4</v>
      </c>
      <c r="AT387">
        <f t="shared" si="71"/>
        <v>6</v>
      </c>
      <c r="AU387">
        <f t="shared" si="72"/>
        <v>5</v>
      </c>
      <c r="AV387">
        <f t="shared" si="73"/>
        <v>5</v>
      </c>
      <c r="AW387">
        <f t="shared" si="74"/>
        <v>3</v>
      </c>
      <c r="AX387">
        <f t="shared" si="75"/>
        <v>0</v>
      </c>
      <c r="AY387">
        <f t="shared" si="76"/>
        <v>2</v>
      </c>
    </row>
    <row r="388" spans="38:51" x14ac:dyDescent="0.25">
      <c r="AL388" s="19" t="s">
        <v>154</v>
      </c>
      <c r="AM388">
        <f t="shared" si="64"/>
        <v>7</v>
      </c>
      <c r="AN388">
        <f t="shared" si="65"/>
        <v>7</v>
      </c>
      <c r="AO388">
        <f t="shared" si="66"/>
        <v>7</v>
      </c>
      <c r="AP388">
        <f t="shared" si="67"/>
        <v>5</v>
      </c>
      <c r="AQ388">
        <f t="shared" si="68"/>
        <v>7</v>
      </c>
      <c r="AR388">
        <f t="shared" si="69"/>
        <v>7</v>
      </c>
      <c r="AS388">
        <f t="shared" si="70"/>
        <v>7</v>
      </c>
      <c r="AT388">
        <f t="shared" si="71"/>
        <v>7</v>
      </c>
      <c r="AU388">
        <f t="shared" si="72"/>
        <v>7</v>
      </c>
      <c r="AV388">
        <f t="shared" si="73"/>
        <v>7</v>
      </c>
      <c r="AW388">
        <f t="shared" si="74"/>
        <v>7</v>
      </c>
      <c r="AX388">
        <f t="shared" si="75"/>
        <v>7</v>
      </c>
      <c r="AY388">
        <f t="shared" si="76"/>
        <v>7</v>
      </c>
    </row>
    <row r="389" spans="38:51" x14ac:dyDescent="0.25">
      <c r="AL389" s="19" t="s">
        <v>155</v>
      </c>
      <c r="AM389">
        <f t="shared" si="64"/>
        <v>7</v>
      </c>
      <c r="AN389">
        <f t="shared" si="65"/>
        <v>6</v>
      </c>
      <c r="AO389">
        <f t="shared" si="66"/>
        <v>5</v>
      </c>
      <c r="AP389">
        <f t="shared" si="67"/>
        <v>3</v>
      </c>
      <c r="AQ389">
        <f t="shared" si="68"/>
        <v>5</v>
      </c>
      <c r="AR389">
        <f t="shared" si="69"/>
        <v>6</v>
      </c>
      <c r="AS389">
        <f t="shared" si="70"/>
        <v>7</v>
      </c>
      <c r="AT389">
        <f t="shared" si="71"/>
        <v>7</v>
      </c>
      <c r="AU389">
        <f t="shared" si="72"/>
        <v>7</v>
      </c>
      <c r="AV389">
        <f t="shared" si="73"/>
        <v>7</v>
      </c>
      <c r="AW389">
        <f t="shared" si="74"/>
        <v>6</v>
      </c>
      <c r="AX389">
        <f t="shared" si="75"/>
        <v>7</v>
      </c>
      <c r="AY389">
        <f t="shared" si="76"/>
        <v>4</v>
      </c>
    </row>
    <row r="390" spans="38:51" x14ac:dyDescent="0.25">
      <c r="AL390" s="19" t="s">
        <v>156</v>
      </c>
      <c r="AM390">
        <f t="shared" si="64"/>
        <v>1</v>
      </c>
      <c r="AN390">
        <f t="shared" si="65"/>
        <v>3</v>
      </c>
      <c r="AO390">
        <f t="shared" si="66"/>
        <v>0</v>
      </c>
      <c r="AP390">
        <f t="shared" si="67"/>
        <v>0</v>
      </c>
      <c r="AQ390">
        <f t="shared" si="68"/>
        <v>5</v>
      </c>
      <c r="AR390">
        <f t="shared" si="69"/>
        <v>3</v>
      </c>
      <c r="AS390">
        <f t="shared" si="70"/>
        <v>1</v>
      </c>
      <c r="AT390">
        <f t="shared" si="71"/>
        <v>0</v>
      </c>
      <c r="AU390">
        <f t="shared" si="72"/>
        <v>2</v>
      </c>
      <c r="AV390">
        <f t="shared" si="73"/>
        <v>1</v>
      </c>
      <c r="AW390">
        <f t="shared" si="74"/>
        <v>0</v>
      </c>
      <c r="AX390">
        <f t="shared" si="75"/>
        <v>0</v>
      </c>
      <c r="AY390">
        <f t="shared" si="76"/>
        <v>0</v>
      </c>
    </row>
    <row r="391" spans="38:51" x14ac:dyDescent="0.25">
      <c r="AL391" s="19" t="s">
        <v>157</v>
      </c>
      <c r="AM391">
        <f t="shared" si="64"/>
        <v>0</v>
      </c>
      <c r="AN391">
        <f t="shared" si="65"/>
        <v>2</v>
      </c>
      <c r="AO391">
        <f t="shared" si="66"/>
        <v>0</v>
      </c>
      <c r="AP391">
        <f t="shared" si="67"/>
        <v>0</v>
      </c>
      <c r="AQ391">
        <f t="shared" si="68"/>
        <v>3</v>
      </c>
      <c r="AR391">
        <f t="shared" si="69"/>
        <v>1</v>
      </c>
      <c r="AS391">
        <f t="shared" si="70"/>
        <v>2</v>
      </c>
      <c r="AT391">
        <f t="shared" si="71"/>
        <v>0</v>
      </c>
      <c r="AU391">
        <f t="shared" si="72"/>
        <v>3</v>
      </c>
      <c r="AV391">
        <f t="shared" si="73"/>
        <v>4</v>
      </c>
      <c r="AW391">
        <f t="shared" si="74"/>
        <v>3</v>
      </c>
      <c r="AX391">
        <f t="shared" si="75"/>
        <v>4</v>
      </c>
      <c r="AY391">
        <f t="shared" si="76"/>
        <v>7</v>
      </c>
    </row>
    <row r="392" spans="38:51" x14ac:dyDescent="0.25">
      <c r="AL392" s="19" t="s">
        <v>158</v>
      </c>
      <c r="AM392">
        <f t="shared" si="64"/>
        <v>5</v>
      </c>
      <c r="AN392">
        <f t="shared" si="65"/>
        <v>7</v>
      </c>
      <c r="AO392">
        <f t="shared" si="66"/>
        <v>4</v>
      </c>
      <c r="AP392">
        <f t="shared" si="67"/>
        <v>3</v>
      </c>
      <c r="AQ392">
        <f t="shared" si="68"/>
        <v>5</v>
      </c>
      <c r="AR392">
        <f t="shared" si="69"/>
        <v>6</v>
      </c>
      <c r="AS392">
        <f t="shared" si="70"/>
        <v>6</v>
      </c>
      <c r="AT392">
        <f t="shared" si="71"/>
        <v>6</v>
      </c>
      <c r="AU392">
        <f t="shared" si="72"/>
        <v>3</v>
      </c>
      <c r="AV392">
        <f t="shared" si="73"/>
        <v>3</v>
      </c>
      <c r="AW392">
        <f t="shared" si="74"/>
        <v>4</v>
      </c>
      <c r="AX392">
        <f t="shared" si="75"/>
        <v>2</v>
      </c>
      <c r="AY392">
        <f t="shared" si="76"/>
        <v>6</v>
      </c>
    </row>
    <row r="393" spans="38:51" x14ac:dyDescent="0.25">
      <c r="AL393" s="19" t="s">
        <v>159</v>
      </c>
      <c r="AM393">
        <f t="shared" si="64"/>
        <v>0</v>
      </c>
      <c r="AN393">
        <f t="shared" si="65"/>
        <v>0</v>
      </c>
      <c r="AO393">
        <f t="shared" si="66"/>
        <v>0</v>
      </c>
      <c r="AP393">
        <f t="shared" si="67"/>
        <v>0</v>
      </c>
      <c r="AQ393">
        <f t="shared" si="68"/>
        <v>0</v>
      </c>
      <c r="AR393">
        <f t="shared" si="69"/>
        <v>0</v>
      </c>
      <c r="AS393">
        <f t="shared" si="70"/>
        <v>0</v>
      </c>
      <c r="AT393">
        <f t="shared" si="71"/>
        <v>0</v>
      </c>
      <c r="AU393">
        <f t="shared" si="72"/>
        <v>0</v>
      </c>
      <c r="AV393">
        <f t="shared" si="73"/>
        <v>0</v>
      </c>
      <c r="AW393">
        <f t="shared" si="74"/>
        <v>0</v>
      </c>
      <c r="AX393">
        <f t="shared" si="75"/>
        <v>0</v>
      </c>
      <c r="AY393">
        <f t="shared" si="76"/>
        <v>0</v>
      </c>
    </row>
    <row r="394" spans="38:51" x14ac:dyDescent="0.25">
      <c r="AL394" s="19" t="s">
        <v>160</v>
      </c>
      <c r="AM394">
        <f t="shared" si="64"/>
        <v>5</v>
      </c>
      <c r="AN394">
        <f t="shared" si="65"/>
        <v>7</v>
      </c>
      <c r="AO394">
        <f t="shared" si="66"/>
        <v>5</v>
      </c>
      <c r="AP394">
        <f t="shared" si="67"/>
        <v>4</v>
      </c>
      <c r="AQ394">
        <f t="shared" si="68"/>
        <v>7</v>
      </c>
      <c r="AR394">
        <f t="shared" si="69"/>
        <v>5</v>
      </c>
      <c r="AS394">
        <f t="shared" si="70"/>
        <v>6</v>
      </c>
      <c r="AT394">
        <f t="shared" si="71"/>
        <v>3</v>
      </c>
      <c r="AU394">
        <f t="shared" si="72"/>
        <v>2</v>
      </c>
      <c r="AV394">
        <f t="shared" si="73"/>
        <v>5</v>
      </c>
      <c r="AW394">
        <f t="shared" si="74"/>
        <v>4</v>
      </c>
      <c r="AX394">
        <f t="shared" si="75"/>
        <v>5</v>
      </c>
      <c r="AY394">
        <f t="shared" si="76"/>
        <v>7</v>
      </c>
    </row>
    <row r="395" spans="38:51" x14ac:dyDescent="0.25">
      <c r="AL395" s="19" t="s">
        <v>292</v>
      </c>
      <c r="AM395">
        <f t="shared" si="64"/>
        <v>3</v>
      </c>
      <c r="AN395">
        <f t="shared" si="65"/>
        <v>5</v>
      </c>
      <c r="AO395">
        <f t="shared" si="66"/>
        <v>5</v>
      </c>
      <c r="AP395">
        <f t="shared" si="67"/>
        <v>5</v>
      </c>
      <c r="AQ395">
        <f t="shared" si="68"/>
        <v>2</v>
      </c>
      <c r="AR395">
        <f t="shared" si="69"/>
        <v>4</v>
      </c>
      <c r="AS395">
        <f t="shared" si="70"/>
        <v>7</v>
      </c>
      <c r="AT395">
        <f t="shared" si="71"/>
        <v>6</v>
      </c>
      <c r="AU395">
        <f t="shared" si="72"/>
        <v>6</v>
      </c>
      <c r="AV395">
        <f t="shared" si="73"/>
        <v>7</v>
      </c>
      <c r="AW395">
        <f t="shared" si="74"/>
        <v>7</v>
      </c>
      <c r="AX395">
        <f t="shared" si="75"/>
        <v>7</v>
      </c>
      <c r="AY395">
        <f t="shared" si="76"/>
        <v>7</v>
      </c>
    </row>
    <row r="396" spans="38:51" x14ac:dyDescent="0.25">
      <c r="AL396" s="19" t="s">
        <v>161</v>
      </c>
      <c r="AM396">
        <f t="shared" si="64"/>
        <v>7</v>
      </c>
      <c r="AN396">
        <f t="shared" si="65"/>
        <v>7</v>
      </c>
      <c r="AO396">
        <f t="shared" si="66"/>
        <v>6</v>
      </c>
      <c r="AP396">
        <f t="shared" si="67"/>
        <v>6</v>
      </c>
      <c r="AQ396">
        <f t="shared" si="68"/>
        <v>6</v>
      </c>
      <c r="AR396">
        <f t="shared" si="69"/>
        <v>7</v>
      </c>
      <c r="AS396">
        <f t="shared" si="70"/>
        <v>7</v>
      </c>
      <c r="AT396">
        <f t="shared" si="71"/>
        <v>7</v>
      </c>
      <c r="AU396">
        <f t="shared" si="72"/>
        <v>7</v>
      </c>
      <c r="AV396">
        <f t="shared" si="73"/>
        <v>7</v>
      </c>
      <c r="AW396">
        <f t="shared" si="74"/>
        <v>7</v>
      </c>
      <c r="AX396">
        <f t="shared" si="75"/>
        <v>5</v>
      </c>
      <c r="AY396">
        <f t="shared" si="76"/>
        <v>6</v>
      </c>
    </row>
    <row r="397" spans="38:51" x14ac:dyDescent="0.25">
      <c r="AL397" s="19" t="s">
        <v>162</v>
      </c>
      <c r="AM397">
        <f t="shared" si="64"/>
        <v>0</v>
      </c>
      <c r="AN397">
        <f t="shared" si="65"/>
        <v>0</v>
      </c>
      <c r="AO397">
        <f t="shared" si="66"/>
        <v>0</v>
      </c>
      <c r="AP397">
        <f t="shared" si="67"/>
        <v>0</v>
      </c>
      <c r="AQ397">
        <f t="shared" si="68"/>
        <v>0</v>
      </c>
      <c r="AR397">
        <f t="shared" si="69"/>
        <v>0</v>
      </c>
      <c r="AS397">
        <f t="shared" si="70"/>
        <v>0</v>
      </c>
      <c r="AT397">
        <f t="shared" si="71"/>
        <v>0</v>
      </c>
      <c r="AU397">
        <f t="shared" si="72"/>
        <v>0</v>
      </c>
      <c r="AV397">
        <f t="shared" si="73"/>
        <v>0</v>
      </c>
      <c r="AW397">
        <f t="shared" si="74"/>
        <v>0</v>
      </c>
      <c r="AX397">
        <f t="shared" si="75"/>
        <v>0</v>
      </c>
      <c r="AY397">
        <f t="shared" si="76"/>
        <v>0</v>
      </c>
    </row>
    <row r="398" spans="38:51" x14ac:dyDescent="0.25">
      <c r="AL398" s="19" t="s">
        <v>163</v>
      </c>
      <c r="AM398">
        <f t="shared" si="64"/>
        <v>0</v>
      </c>
      <c r="AN398">
        <f t="shared" si="65"/>
        <v>0</v>
      </c>
      <c r="AO398">
        <f t="shared" si="66"/>
        <v>0</v>
      </c>
      <c r="AP398">
        <f t="shared" si="67"/>
        <v>0</v>
      </c>
      <c r="AQ398">
        <f t="shared" si="68"/>
        <v>0</v>
      </c>
      <c r="AR398">
        <f t="shared" si="69"/>
        <v>3</v>
      </c>
      <c r="AS398">
        <f t="shared" si="70"/>
        <v>1</v>
      </c>
      <c r="AT398">
        <f t="shared" si="71"/>
        <v>0</v>
      </c>
      <c r="AU398">
        <f t="shared" si="72"/>
        <v>0</v>
      </c>
      <c r="AV398">
        <f t="shared" si="73"/>
        <v>0</v>
      </c>
      <c r="AW398">
        <f t="shared" si="74"/>
        <v>1</v>
      </c>
      <c r="AX398">
        <f t="shared" si="75"/>
        <v>0</v>
      </c>
      <c r="AY398">
        <f t="shared" si="76"/>
        <v>0</v>
      </c>
    </row>
    <row r="399" spans="38:51" x14ac:dyDescent="0.25">
      <c r="AL399" s="19" t="s">
        <v>164</v>
      </c>
      <c r="AM399">
        <f t="shared" si="64"/>
        <v>5</v>
      </c>
      <c r="AN399">
        <f t="shared" si="65"/>
        <v>5</v>
      </c>
      <c r="AO399">
        <f t="shared" si="66"/>
        <v>3</v>
      </c>
      <c r="AP399">
        <f t="shared" si="67"/>
        <v>2</v>
      </c>
      <c r="AQ399">
        <f t="shared" si="68"/>
        <v>2</v>
      </c>
      <c r="AR399">
        <f t="shared" si="69"/>
        <v>3</v>
      </c>
      <c r="AS399">
        <f t="shared" si="70"/>
        <v>3</v>
      </c>
      <c r="AT399">
        <f t="shared" si="71"/>
        <v>5</v>
      </c>
      <c r="AU399">
        <f t="shared" si="72"/>
        <v>7</v>
      </c>
      <c r="AV399">
        <f t="shared" si="73"/>
        <v>3</v>
      </c>
      <c r="AW399">
        <f t="shared" si="74"/>
        <v>3</v>
      </c>
      <c r="AX399">
        <f t="shared" si="75"/>
        <v>4</v>
      </c>
      <c r="AY399">
        <f t="shared" si="76"/>
        <v>2</v>
      </c>
    </row>
    <row r="400" spans="38:51" x14ac:dyDescent="0.25">
      <c r="AL400" s="19" t="s">
        <v>165</v>
      </c>
      <c r="AM400">
        <f t="shared" si="64"/>
        <v>4</v>
      </c>
      <c r="AN400">
        <f t="shared" si="65"/>
        <v>6</v>
      </c>
      <c r="AO400">
        <f t="shared" si="66"/>
        <v>3</v>
      </c>
      <c r="AP400">
        <f t="shared" si="67"/>
        <v>3</v>
      </c>
      <c r="AQ400">
        <f t="shared" si="68"/>
        <v>6</v>
      </c>
      <c r="AR400">
        <f t="shared" si="69"/>
        <v>4</v>
      </c>
      <c r="AS400">
        <f t="shared" si="70"/>
        <v>1</v>
      </c>
      <c r="AT400">
        <f t="shared" si="71"/>
        <v>1</v>
      </c>
      <c r="AU400">
        <f t="shared" si="72"/>
        <v>2</v>
      </c>
      <c r="AV400">
        <f t="shared" si="73"/>
        <v>1</v>
      </c>
      <c r="AW400">
        <f t="shared" si="74"/>
        <v>1</v>
      </c>
      <c r="AX400">
        <f t="shared" si="75"/>
        <v>0</v>
      </c>
      <c r="AY400">
        <f t="shared" si="76"/>
        <v>1</v>
      </c>
    </row>
    <row r="401" spans="38:51" x14ac:dyDescent="0.25">
      <c r="AL401" s="19" t="s">
        <v>166</v>
      </c>
      <c r="AM401">
        <f t="shared" si="64"/>
        <v>0</v>
      </c>
      <c r="AN401">
        <f t="shared" si="65"/>
        <v>0</v>
      </c>
      <c r="AO401">
        <f t="shared" si="66"/>
        <v>0</v>
      </c>
      <c r="AP401">
        <f t="shared" si="67"/>
        <v>0</v>
      </c>
      <c r="AQ401">
        <f t="shared" si="68"/>
        <v>0</v>
      </c>
      <c r="AR401">
        <f t="shared" si="69"/>
        <v>0</v>
      </c>
      <c r="AS401">
        <f t="shared" si="70"/>
        <v>0</v>
      </c>
      <c r="AT401">
        <f t="shared" si="71"/>
        <v>0</v>
      </c>
      <c r="AU401">
        <f t="shared" si="72"/>
        <v>0</v>
      </c>
      <c r="AV401">
        <f t="shared" si="73"/>
        <v>0</v>
      </c>
      <c r="AW401">
        <f t="shared" si="74"/>
        <v>0</v>
      </c>
      <c r="AX401">
        <f t="shared" si="75"/>
        <v>2</v>
      </c>
      <c r="AY401">
        <f t="shared" si="76"/>
        <v>2</v>
      </c>
    </row>
    <row r="402" spans="38:51" x14ac:dyDescent="0.25">
      <c r="AL402" s="19" t="s">
        <v>167</v>
      </c>
      <c r="AM402">
        <f t="shared" si="64"/>
        <v>4</v>
      </c>
      <c r="AN402">
        <f t="shared" si="65"/>
        <v>5</v>
      </c>
      <c r="AO402">
        <f t="shared" si="66"/>
        <v>5</v>
      </c>
      <c r="AP402">
        <f t="shared" si="67"/>
        <v>2</v>
      </c>
      <c r="AQ402">
        <f t="shared" si="68"/>
        <v>5</v>
      </c>
      <c r="AR402">
        <f t="shared" si="69"/>
        <v>6</v>
      </c>
      <c r="AS402">
        <f t="shared" si="70"/>
        <v>3</v>
      </c>
      <c r="AT402">
        <f t="shared" si="71"/>
        <v>5</v>
      </c>
      <c r="AU402">
        <f t="shared" si="72"/>
        <v>5</v>
      </c>
      <c r="AV402">
        <f t="shared" si="73"/>
        <v>0</v>
      </c>
      <c r="AW402">
        <f t="shared" si="74"/>
        <v>3</v>
      </c>
      <c r="AX402">
        <f t="shared" si="75"/>
        <v>5</v>
      </c>
      <c r="AY402">
        <f t="shared" si="76"/>
        <v>4</v>
      </c>
    </row>
    <row r="403" spans="38:51" x14ac:dyDescent="0.25">
      <c r="AL403" s="19" t="s">
        <v>168</v>
      </c>
      <c r="AM403">
        <f t="shared" si="64"/>
        <v>5</v>
      </c>
      <c r="AN403">
        <f t="shared" si="65"/>
        <v>6</v>
      </c>
      <c r="AO403">
        <f t="shared" si="66"/>
        <v>4</v>
      </c>
      <c r="AP403">
        <f t="shared" si="67"/>
        <v>2</v>
      </c>
      <c r="AQ403">
        <f t="shared" si="68"/>
        <v>7</v>
      </c>
      <c r="AR403">
        <f t="shared" si="69"/>
        <v>6</v>
      </c>
      <c r="AS403">
        <f t="shared" si="70"/>
        <v>7</v>
      </c>
      <c r="AT403">
        <f t="shared" si="71"/>
        <v>7</v>
      </c>
      <c r="AU403">
        <f t="shared" si="72"/>
        <v>7</v>
      </c>
      <c r="AV403">
        <f t="shared" si="73"/>
        <v>7</v>
      </c>
      <c r="AW403">
        <f t="shared" si="74"/>
        <v>5</v>
      </c>
      <c r="AX403">
        <f t="shared" si="75"/>
        <v>3</v>
      </c>
      <c r="AY403">
        <f t="shared" si="76"/>
        <v>5</v>
      </c>
    </row>
    <row r="404" spans="38:51" x14ac:dyDescent="0.25">
      <c r="AL404" s="19" t="s">
        <v>169</v>
      </c>
      <c r="AM404">
        <f t="shared" si="64"/>
        <v>6</v>
      </c>
      <c r="AN404">
        <f t="shared" si="65"/>
        <v>4</v>
      </c>
      <c r="AO404">
        <f t="shared" si="66"/>
        <v>4</v>
      </c>
      <c r="AP404">
        <f t="shared" si="67"/>
        <v>0</v>
      </c>
      <c r="AQ404">
        <f t="shared" si="68"/>
        <v>0</v>
      </c>
      <c r="AR404">
        <f t="shared" si="69"/>
        <v>2</v>
      </c>
      <c r="AS404">
        <f t="shared" si="70"/>
        <v>4</v>
      </c>
      <c r="AT404">
        <f t="shared" si="71"/>
        <v>6</v>
      </c>
      <c r="AU404">
        <f t="shared" si="72"/>
        <v>3</v>
      </c>
      <c r="AV404">
        <f t="shared" si="73"/>
        <v>3</v>
      </c>
      <c r="AW404">
        <f t="shared" si="74"/>
        <v>4</v>
      </c>
      <c r="AX404">
        <f t="shared" si="75"/>
        <v>2</v>
      </c>
      <c r="AY404">
        <f t="shared" si="76"/>
        <v>2</v>
      </c>
    </row>
    <row r="405" spans="38:51" x14ac:dyDescent="0.25">
      <c r="AL405" s="19" t="s">
        <v>170</v>
      </c>
      <c r="AM405">
        <f t="shared" si="64"/>
        <v>7</v>
      </c>
      <c r="AN405">
        <f t="shared" si="65"/>
        <v>7</v>
      </c>
      <c r="AO405">
        <f t="shared" si="66"/>
        <v>7</v>
      </c>
      <c r="AP405">
        <f t="shared" si="67"/>
        <v>5</v>
      </c>
      <c r="AQ405">
        <f t="shared" si="68"/>
        <v>6</v>
      </c>
      <c r="AR405">
        <f t="shared" si="69"/>
        <v>7</v>
      </c>
      <c r="AS405">
        <f t="shared" si="70"/>
        <v>7</v>
      </c>
      <c r="AT405">
        <f t="shared" si="71"/>
        <v>7</v>
      </c>
      <c r="AU405">
        <f t="shared" si="72"/>
        <v>7</v>
      </c>
      <c r="AV405">
        <f t="shared" si="73"/>
        <v>6</v>
      </c>
      <c r="AW405">
        <f t="shared" si="74"/>
        <v>7</v>
      </c>
      <c r="AX405">
        <f t="shared" si="75"/>
        <v>6</v>
      </c>
      <c r="AY405">
        <f t="shared" si="76"/>
        <v>5</v>
      </c>
    </row>
    <row r="406" spans="38:51" x14ac:dyDescent="0.25">
      <c r="AL406" s="19" t="s">
        <v>240</v>
      </c>
      <c r="AM406">
        <f t="shared" si="64"/>
        <v>1</v>
      </c>
      <c r="AN406">
        <f t="shared" si="65"/>
        <v>3</v>
      </c>
      <c r="AO406">
        <f t="shared" si="66"/>
        <v>3</v>
      </c>
      <c r="AP406">
        <f t="shared" si="67"/>
        <v>0</v>
      </c>
      <c r="AQ406">
        <f t="shared" si="68"/>
        <v>1</v>
      </c>
      <c r="AR406">
        <f t="shared" si="69"/>
        <v>3</v>
      </c>
      <c r="AS406">
        <f t="shared" si="70"/>
        <v>3</v>
      </c>
      <c r="AT406">
        <f t="shared" si="71"/>
        <v>0</v>
      </c>
      <c r="AU406">
        <f t="shared" si="72"/>
        <v>0</v>
      </c>
      <c r="AV406">
        <f t="shared" si="73"/>
        <v>0</v>
      </c>
      <c r="AW406">
        <f t="shared" si="74"/>
        <v>1</v>
      </c>
      <c r="AX406">
        <f t="shared" si="75"/>
        <v>0</v>
      </c>
      <c r="AY406">
        <f t="shared" si="76"/>
        <v>0</v>
      </c>
    </row>
    <row r="407" spans="38:51" x14ac:dyDescent="0.25">
      <c r="AL407" s="19" t="s">
        <v>171</v>
      </c>
      <c r="AM407">
        <f t="shared" si="64"/>
        <v>2</v>
      </c>
      <c r="AN407">
        <f t="shared" si="65"/>
        <v>3</v>
      </c>
      <c r="AO407">
        <f t="shared" si="66"/>
        <v>3</v>
      </c>
      <c r="AP407">
        <f t="shared" si="67"/>
        <v>0</v>
      </c>
      <c r="AQ407">
        <f t="shared" si="68"/>
        <v>1</v>
      </c>
      <c r="AR407">
        <f t="shared" si="69"/>
        <v>4</v>
      </c>
      <c r="AS407">
        <f t="shared" si="70"/>
        <v>4</v>
      </c>
      <c r="AT407">
        <f t="shared" si="71"/>
        <v>0</v>
      </c>
      <c r="AU407">
        <f t="shared" si="72"/>
        <v>4</v>
      </c>
      <c r="AV407">
        <f t="shared" si="73"/>
        <v>0</v>
      </c>
      <c r="AW407">
        <f t="shared" si="74"/>
        <v>1</v>
      </c>
      <c r="AX407">
        <f t="shared" si="75"/>
        <v>0</v>
      </c>
      <c r="AY407">
        <f t="shared" si="76"/>
        <v>0</v>
      </c>
    </row>
    <row r="408" spans="38:51" x14ac:dyDescent="0.25">
      <c r="AL408" s="19" t="s">
        <v>172</v>
      </c>
      <c r="AM408">
        <f t="shared" si="64"/>
        <v>3</v>
      </c>
      <c r="AN408">
        <f t="shared" si="65"/>
        <v>2</v>
      </c>
      <c r="AO408">
        <f t="shared" si="66"/>
        <v>0</v>
      </c>
      <c r="AP408">
        <f t="shared" si="67"/>
        <v>0</v>
      </c>
      <c r="AQ408">
        <f t="shared" si="68"/>
        <v>4</v>
      </c>
      <c r="AR408">
        <f t="shared" si="69"/>
        <v>3</v>
      </c>
      <c r="AS408">
        <f t="shared" si="70"/>
        <v>5</v>
      </c>
      <c r="AT408">
        <f t="shared" si="71"/>
        <v>3</v>
      </c>
      <c r="AU408">
        <f t="shared" si="72"/>
        <v>3</v>
      </c>
      <c r="AV408">
        <f t="shared" si="73"/>
        <v>6</v>
      </c>
      <c r="AW408">
        <f t="shared" si="74"/>
        <v>2</v>
      </c>
      <c r="AX408">
        <f t="shared" si="75"/>
        <v>3</v>
      </c>
      <c r="AY408">
        <f t="shared" si="76"/>
        <v>4</v>
      </c>
    </row>
    <row r="409" spans="38:51" x14ac:dyDescent="0.25">
      <c r="AL409" s="19" t="s">
        <v>173</v>
      </c>
      <c r="AM409">
        <f t="shared" si="64"/>
        <v>7</v>
      </c>
      <c r="AN409">
        <f t="shared" si="65"/>
        <v>7</v>
      </c>
      <c r="AO409">
        <f t="shared" si="66"/>
        <v>6</v>
      </c>
      <c r="AP409">
        <f t="shared" si="67"/>
        <v>1</v>
      </c>
      <c r="AQ409">
        <f t="shared" si="68"/>
        <v>6</v>
      </c>
      <c r="AR409">
        <f t="shared" si="69"/>
        <v>7</v>
      </c>
      <c r="AS409">
        <f t="shared" si="70"/>
        <v>7</v>
      </c>
      <c r="AT409">
        <f t="shared" si="71"/>
        <v>3</v>
      </c>
      <c r="AU409">
        <f t="shared" si="72"/>
        <v>6</v>
      </c>
      <c r="AV409">
        <f t="shared" si="73"/>
        <v>6</v>
      </c>
      <c r="AW409">
        <f t="shared" si="74"/>
        <v>7</v>
      </c>
      <c r="AX409">
        <f t="shared" si="75"/>
        <v>6</v>
      </c>
      <c r="AY409">
        <f t="shared" si="76"/>
        <v>7</v>
      </c>
    </row>
    <row r="410" spans="38:51" x14ac:dyDescent="0.25">
      <c r="AL410" s="19" t="s">
        <v>236</v>
      </c>
      <c r="AM410">
        <f>COUNTIF($AM126:$AS126,"&gt;=95%")</f>
        <v>7</v>
      </c>
      <c r="AN410">
        <f>COUNTIF($AU126:$BA126,"&gt;=95%")</f>
        <v>7</v>
      </c>
      <c r="AO410">
        <f t="shared" si="66"/>
        <v>7</v>
      </c>
      <c r="AP410">
        <f t="shared" si="67"/>
        <v>5</v>
      </c>
      <c r="AQ410">
        <f t="shared" si="68"/>
        <v>7</v>
      </c>
      <c r="AR410">
        <f t="shared" si="69"/>
        <v>7</v>
      </c>
      <c r="AS410">
        <f t="shared" si="70"/>
        <v>7</v>
      </c>
      <c r="AT410">
        <f t="shared" si="71"/>
        <v>7</v>
      </c>
      <c r="AU410">
        <f t="shared" si="72"/>
        <v>7</v>
      </c>
      <c r="AV410">
        <f t="shared" si="73"/>
        <v>7</v>
      </c>
      <c r="AW410">
        <f t="shared" si="74"/>
        <v>7</v>
      </c>
      <c r="AX410">
        <f t="shared" si="75"/>
        <v>7</v>
      </c>
      <c r="AY410">
        <f t="shared" si="76"/>
        <v>7</v>
      </c>
    </row>
    <row r="411" spans="38:51" x14ac:dyDescent="0.25">
      <c r="AL411" s="19" t="s">
        <v>174</v>
      </c>
      <c r="AM411">
        <f>COUNTIF($AM127:$AS127,"&gt;=95%")</f>
        <v>7</v>
      </c>
      <c r="AN411">
        <f t="shared" si="65"/>
        <v>7</v>
      </c>
      <c r="AO411">
        <f t="shared" si="66"/>
        <v>7</v>
      </c>
      <c r="AP411">
        <f t="shared" si="67"/>
        <v>7</v>
      </c>
      <c r="AQ411">
        <f t="shared" si="68"/>
        <v>7</v>
      </c>
      <c r="AR411">
        <f t="shared" si="69"/>
        <v>7</v>
      </c>
      <c r="AS411">
        <f t="shared" si="70"/>
        <v>7</v>
      </c>
      <c r="AT411">
        <f t="shared" si="71"/>
        <v>7</v>
      </c>
      <c r="AU411">
        <f t="shared" si="72"/>
        <v>7</v>
      </c>
      <c r="AV411">
        <f t="shared" si="73"/>
        <v>7</v>
      </c>
      <c r="AW411">
        <f t="shared" si="74"/>
        <v>7</v>
      </c>
      <c r="AX411">
        <f t="shared" si="75"/>
        <v>7</v>
      </c>
      <c r="AY411">
        <f t="shared" si="76"/>
        <v>7</v>
      </c>
    </row>
    <row r="412" spans="38:51" x14ac:dyDescent="0.25">
      <c r="AL412" s="19" t="s">
        <v>175</v>
      </c>
      <c r="AM412">
        <f>COUNTIF($AM128:$AS128,"&gt;=95%")</f>
        <v>0</v>
      </c>
      <c r="AN412">
        <f>COUNTIF($AU128:$BA128,"&gt;=95%")</f>
        <v>0</v>
      </c>
      <c r="AO412">
        <f t="shared" si="66"/>
        <v>0</v>
      </c>
      <c r="AP412">
        <f t="shared" si="67"/>
        <v>0</v>
      </c>
      <c r="AQ412">
        <f t="shared" si="68"/>
        <v>0</v>
      </c>
      <c r="AR412">
        <f t="shared" si="69"/>
        <v>0</v>
      </c>
      <c r="AS412">
        <f t="shared" si="70"/>
        <v>0</v>
      </c>
      <c r="AT412">
        <f t="shared" si="71"/>
        <v>0</v>
      </c>
      <c r="AU412">
        <f t="shared" si="72"/>
        <v>0</v>
      </c>
      <c r="AV412">
        <f t="shared" si="73"/>
        <v>0</v>
      </c>
      <c r="AW412">
        <f t="shared" si="74"/>
        <v>0</v>
      </c>
      <c r="AX412">
        <f t="shared" si="75"/>
        <v>0</v>
      </c>
      <c r="AY412">
        <f t="shared" si="76"/>
        <v>0</v>
      </c>
    </row>
    <row r="413" spans="38:51" x14ac:dyDescent="0.25">
      <c r="AL413" s="19" t="s">
        <v>176</v>
      </c>
      <c r="AM413">
        <f t="shared" si="64"/>
        <v>0</v>
      </c>
      <c r="AN413">
        <f>COUNTIF($AU129:$BA129,"&gt;=95%")</f>
        <v>0</v>
      </c>
      <c r="AO413">
        <f t="shared" si="66"/>
        <v>0</v>
      </c>
      <c r="AP413">
        <f t="shared" si="67"/>
        <v>0</v>
      </c>
      <c r="AQ413">
        <f t="shared" si="68"/>
        <v>0</v>
      </c>
      <c r="AR413">
        <f t="shared" si="69"/>
        <v>0</v>
      </c>
      <c r="AS413">
        <f t="shared" si="70"/>
        <v>1</v>
      </c>
      <c r="AT413">
        <f t="shared" si="71"/>
        <v>0</v>
      </c>
      <c r="AU413">
        <f t="shared" si="72"/>
        <v>0</v>
      </c>
      <c r="AV413">
        <f t="shared" si="73"/>
        <v>0</v>
      </c>
      <c r="AW413">
        <f t="shared" si="74"/>
        <v>0</v>
      </c>
      <c r="AX413">
        <f t="shared" si="75"/>
        <v>0</v>
      </c>
      <c r="AY413">
        <f t="shared" si="76"/>
        <v>0</v>
      </c>
    </row>
    <row r="414" spans="38:51" x14ac:dyDescent="0.25">
      <c r="AL414" s="19" t="s">
        <v>177</v>
      </c>
      <c r="AM414">
        <f t="shared" si="64"/>
        <v>6</v>
      </c>
      <c r="AN414">
        <f>COUNTIF($AU130:$BA130,"&gt;=95%")</f>
        <v>7</v>
      </c>
      <c r="AO414">
        <f t="shared" si="66"/>
        <v>3</v>
      </c>
      <c r="AP414">
        <f t="shared" si="67"/>
        <v>3</v>
      </c>
      <c r="AQ414">
        <f t="shared" si="68"/>
        <v>7</v>
      </c>
      <c r="AR414">
        <f t="shared" si="69"/>
        <v>5</v>
      </c>
      <c r="AS414">
        <f t="shared" si="70"/>
        <v>7</v>
      </c>
      <c r="AT414">
        <f t="shared" si="71"/>
        <v>5</v>
      </c>
      <c r="AU414">
        <f t="shared" si="72"/>
        <v>6</v>
      </c>
      <c r="AV414">
        <f t="shared" si="73"/>
        <v>7</v>
      </c>
      <c r="AW414">
        <f t="shared" si="74"/>
        <v>5</v>
      </c>
      <c r="AX414">
        <f t="shared" si="75"/>
        <v>5</v>
      </c>
      <c r="AY414">
        <f t="shared" si="76"/>
        <v>6</v>
      </c>
    </row>
    <row r="415" spans="38:51" x14ac:dyDescent="0.25">
      <c r="AL415" s="19" t="s">
        <v>178</v>
      </c>
      <c r="AM415">
        <f t="shared" si="64"/>
        <v>3</v>
      </c>
      <c r="AN415">
        <f>COUNTIF($AU131:$BA131,"&gt;=95%")</f>
        <v>6</v>
      </c>
      <c r="AO415">
        <f t="shared" si="66"/>
        <v>5</v>
      </c>
      <c r="AP415">
        <f t="shared" si="67"/>
        <v>4</v>
      </c>
      <c r="AQ415">
        <f t="shared" si="68"/>
        <v>6</v>
      </c>
      <c r="AR415">
        <f t="shared" si="69"/>
        <v>7</v>
      </c>
      <c r="AS415">
        <f t="shared" si="70"/>
        <v>3</v>
      </c>
      <c r="AT415">
        <f t="shared" si="71"/>
        <v>3</v>
      </c>
      <c r="AU415">
        <f t="shared" si="72"/>
        <v>4</v>
      </c>
      <c r="AV415">
        <f t="shared" si="73"/>
        <v>7</v>
      </c>
      <c r="AW415">
        <f t="shared" si="74"/>
        <v>3</v>
      </c>
      <c r="AX415">
        <f t="shared" si="75"/>
        <v>3</v>
      </c>
      <c r="AY415">
        <f t="shared" si="76"/>
        <v>4</v>
      </c>
    </row>
    <row r="416" spans="38:51" x14ac:dyDescent="0.25">
      <c r="AL416" s="19" t="s">
        <v>179</v>
      </c>
      <c r="AM416">
        <f t="shared" si="64"/>
        <v>7</v>
      </c>
      <c r="AN416">
        <f t="shared" si="65"/>
        <v>7</v>
      </c>
      <c r="AO416">
        <f t="shared" si="66"/>
        <v>7</v>
      </c>
      <c r="AP416">
        <f t="shared" si="67"/>
        <v>6</v>
      </c>
      <c r="AQ416">
        <f t="shared" si="68"/>
        <v>7</v>
      </c>
      <c r="AR416">
        <f t="shared" si="69"/>
        <v>7</v>
      </c>
      <c r="AS416">
        <f t="shared" si="70"/>
        <v>7</v>
      </c>
      <c r="AT416">
        <f t="shared" si="71"/>
        <v>7</v>
      </c>
      <c r="AU416">
        <f t="shared" si="72"/>
        <v>7</v>
      </c>
      <c r="AV416">
        <f t="shared" si="73"/>
        <v>7</v>
      </c>
      <c r="AW416">
        <f t="shared" si="74"/>
        <v>7</v>
      </c>
      <c r="AX416">
        <f t="shared" si="75"/>
        <v>7</v>
      </c>
      <c r="AY416">
        <f t="shared" si="76"/>
        <v>7</v>
      </c>
    </row>
    <row r="417" spans="38:52" x14ac:dyDescent="0.25">
      <c r="AL417" s="19" t="s">
        <v>180</v>
      </c>
      <c r="AM417">
        <f t="shared" si="64"/>
        <v>5</v>
      </c>
      <c r="AN417">
        <f t="shared" si="65"/>
        <v>7</v>
      </c>
      <c r="AO417">
        <f t="shared" si="66"/>
        <v>7</v>
      </c>
      <c r="AP417">
        <f t="shared" si="67"/>
        <v>5</v>
      </c>
      <c r="AQ417">
        <f t="shared" si="68"/>
        <v>5</v>
      </c>
      <c r="AR417">
        <f t="shared" si="69"/>
        <v>5</v>
      </c>
      <c r="AS417">
        <f t="shared" si="70"/>
        <v>7</v>
      </c>
      <c r="AT417">
        <f t="shared" si="71"/>
        <v>4</v>
      </c>
      <c r="AU417">
        <f t="shared" si="72"/>
        <v>7</v>
      </c>
      <c r="AV417">
        <f t="shared" si="73"/>
        <v>6</v>
      </c>
      <c r="AW417">
        <f t="shared" si="74"/>
        <v>7</v>
      </c>
      <c r="AX417">
        <f t="shared" si="75"/>
        <v>6</v>
      </c>
      <c r="AY417">
        <f t="shared" si="76"/>
        <v>7</v>
      </c>
    </row>
    <row r="418" spans="38:52" x14ac:dyDescent="0.25">
      <c r="AL418" s="19" t="s">
        <v>181</v>
      </c>
      <c r="AM418">
        <f t="shared" si="64"/>
        <v>6</v>
      </c>
      <c r="AN418">
        <f t="shared" si="65"/>
        <v>7</v>
      </c>
      <c r="AO418">
        <f t="shared" si="66"/>
        <v>7</v>
      </c>
      <c r="AP418">
        <f t="shared" si="67"/>
        <v>4</v>
      </c>
      <c r="AQ418">
        <f t="shared" si="68"/>
        <v>7</v>
      </c>
      <c r="AR418">
        <f t="shared" si="69"/>
        <v>7</v>
      </c>
      <c r="AS418">
        <f t="shared" si="70"/>
        <v>7</v>
      </c>
      <c r="AT418">
        <f t="shared" si="71"/>
        <v>7</v>
      </c>
      <c r="AU418">
        <f t="shared" si="72"/>
        <v>7</v>
      </c>
      <c r="AV418">
        <f t="shared" si="73"/>
        <v>7</v>
      </c>
      <c r="AW418">
        <f t="shared" si="74"/>
        <v>7</v>
      </c>
      <c r="AX418">
        <f t="shared" si="75"/>
        <v>7</v>
      </c>
      <c r="AY418">
        <f t="shared" si="76"/>
        <v>7</v>
      </c>
    </row>
    <row r="419" spans="38:52" x14ac:dyDescent="0.25">
      <c r="AL419" s="19" t="s">
        <v>182</v>
      </c>
      <c r="AM419">
        <f t="shared" si="64"/>
        <v>6</v>
      </c>
      <c r="AN419">
        <f t="shared" si="65"/>
        <v>7</v>
      </c>
      <c r="AO419">
        <f t="shared" si="66"/>
        <v>7</v>
      </c>
      <c r="AP419">
        <f t="shared" si="67"/>
        <v>5</v>
      </c>
      <c r="AQ419">
        <f t="shared" si="68"/>
        <v>7</v>
      </c>
      <c r="AR419">
        <f t="shared" si="69"/>
        <v>7</v>
      </c>
      <c r="AS419">
        <f t="shared" si="70"/>
        <v>7</v>
      </c>
      <c r="AT419">
        <f t="shared" si="71"/>
        <v>6</v>
      </c>
      <c r="AU419">
        <f t="shared" si="72"/>
        <v>7</v>
      </c>
      <c r="AV419">
        <f t="shared" si="73"/>
        <v>7</v>
      </c>
      <c r="AW419">
        <f t="shared" si="74"/>
        <v>7</v>
      </c>
      <c r="AX419">
        <f t="shared" si="75"/>
        <v>6</v>
      </c>
      <c r="AY419">
        <f t="shared" si="76"/>
        <v>7</v>
      </c>
    </row>
    <row r="420" spans="38:52" x14ac:dyDescent="0.25">
      <c r="AL420" s="19" t="s">
        <v>183</v>
      </c>
      <c r="AM420">
        <f t="shared" si="64"/>
        <v>4</v>
      </c>
      <c r="AN420">
        <f t="shared" si="65"/>
        <v>5</v>
      </c>
      <c r="AO420">
        <f t="shared" si="66"/>
        <v>6</v>
      </c>
      <c r="AP420">
        <f t="shared" si="67"/>
        <v>1</v>
      </c>
      <c r="AQ420">
        <f t="shared" si="68"/>
        <v>3</v>
      </c>
      <c r="AR420">
        <f t="shared" si="69"/>
        <v>6</v>
      </c>
      <c r="AS420">
        <f t="shared" si="70"/>
        <v>7</v>
      </c>
      <c r="AT420">
        <f t="shared" si="71"/>
        <v>6</v>
      </c>
      <c r="AU420">
        <f t="shared" si="72"/>
        <v>6</v>
      </c>
      <c r="AV420">
        <f t="shared" si="73"/>
        <v>3</v>
      </c>
      <c r="AW420">
        <f t="shared" si="74"/>
        <v>6</v>
      </c>
      <c r="AX420">
        <f t="shared" si="75"/>
        <v>6</v>
      </c>
      <c r="AY420">
        <f t="shared" si="76"/>
        <v>5</v>
      </c>
    </row>
    <row r="421" spans="38:52" x14ac:dyDescent="0.25">
      <c r="AL421" s="19" t="s">
        <v>184</v>
      </c>
      <c r="AM421">
        <f>COUNTIF($AM137:$AS137,"&gt;=95%")</f>
        <v>7</v>
      </c>
      <c r="AN421">
        <f t="shared" ref="AN421:AN423" si="77">COUNTIF($AU137:$BA137,"&gt;=95%")</f>
        <v>7</v>
      </c>
      <c r="AO421">
        <f t="shared" ref="AO421:AO423" si="78">COUNTIF($BC137:$BI137,"&gt;=95%")</f>
        <v>4</v>
      </c>
      <c r="AP421">
        <f t="shared" ref="AP421:AP423" si="79">COUNTIF($BK137:$BQ137,"&gt;=95%")</f>
        <v>3</v>
      </c>
      <c r="AQ421">
        <f t="shared" ref="AQ421:AQ423" si="80">COUNTIF($BS137:$BY137,"&gt;=95%")</f>
        <v>7</v>
      </c>
      <c r="AR421">
        <f t="shared" ref="AR421:AR423" si="81">COUNTIF($CA137:$CG137,"&gt;=95%")</f>
        <v>7</v>
      </c>
      <c r="AS421">
        <f t="shared" ref="AS421:AS423" si="82">COUNTIF($CI137:$CO137,"&gt;=95%")</f>
        <v>7</v>
      </c>
      <c r="AT421">
        <f t="shared" ref="AT421:AT423" si="83">COUNTIF($CQ137:$CW137,"&gt;=95%")</f>
        <v>7</v>
      </c>
      <c r="AU421">
        <f t="shared" ref="AU421:AU423" si="84">COUNTIF($CY137:$DE137,"&gt;=95%")</f>
        <v>5</v>
      </c>
      <c r="AV421">
        <f t="shared" ref="AV421:AV423" si="85">COUNTIF($DG137:$DM137,"&gt;=95%")</f>
        <v>4</v>
      </c>
      <c r="AW421">
        <f t="shared" ref="AW421:AW423" si="86">COUNTIF($DO137:$DU137,"&gt;=95%")</f>
        <v>7</v>
      </c>
      <c r="AX421">
        <f t="shared" ref="AX421:AX423" si="87">COUNTIF($DW137:$EC137,"&gt;=95%")</f>
        <v>5</v>
      </c>
      <c r="AY421">
        <f t="shared" ref="AY421:AY423" si="88">COUNTIF($EE137:$EK137,"&gt;=95%")</f>
        <v>4</v>
      </c>
    </row>
    <row r="422" spans="38:52" x14ac:dyDescent="0.25">
      <c r="AL422" s="19" t="s">
        <v>185</v>
      </c>
      <c r="AM422">
        <f t="shared" ref="AM422:AM423" si="89">COUNTIF($AM138:$AS138,"&gt;=95%")</f>
        <v>2</v>
      </c>
      <c r="AN422">
        <f t="shared" si="77"/>
        <v>3</v>
      </c>
      <c r="AO422">
        <f t="shared" si="78"/>
        <v>1</v>
      </c>
      <c r="AP422">
        <f t="shared" si="79"/>
        <v>1</v>
      </c>
      <c r="AQ422">
        <f t="shared" si="80"/>
        <v>0</v>
      </c>
      <c r="AR422">
        <f t="shared" si="81"/>
        <v>0</v>
      </c>
      <c r="AS422">
        <f t="shared" si="82"/>
        <v>3</v>
      </c>
      <c r="AT422">
        <f t="shared" si="83"/>
        <v>2</v>
      </c>
      <c r="AU422">
        <f t="shared" si="84"/>
        <v>0</v>
      </c>
      <c r="AV422">
        <f t="shared" si="85"/>
        <v>0</v>
      </c>
      <c r="AW422">
        <f t="shared" si="86"/>
        <v>0</v>
      </c>
      <c r="AX422">
        <f t="shared" si="87"/>
        <v>3</v>
      </c>
      <c r="AY422">
        <f t="shared" si="88"/>
        <v>0</v>
      </c>
    </row>
    <row r="423" spans="38:52" x14ac:dyDescent="0.25">
      <c r="AL423" s="19" t="s">
        <v>186</v>
      </c>
      <c r="AM423">
        <f t="shared" si="89"/>
        <v>0</v>
      </c>
      <c r="AN423">
        <f t="shared" si="77"/>
        <v>0</v>
      </c>
      <c r="AO423">
        <f t="shared" si="78"/>
        <v>0</v>
      </c>
      <c r="AP423">
        <f t="shared" si="79"/>
        <v>0</v>
      </c>
      <c r="AQ423">
        <f t="shared" si="80"/>
        <v>0</v>
      </c>
      <c r="AR423">
        <f t="shared" si="81"/>
        <v>1</v>
      </c>
      <c r="AS423">
        <f t="shared" si="82"/>
        <v>0</v>
      </c>
      <c r="AT423">
        <f t="shared" si="83"/>
        <v>0</v>
      </c>
      <c r="AU423">
        <f t="shared" si="84"/>
        <v>0</v>
      </c>
      <c r="AV423">
        <f t="shared" si="85"/>
        <v>0</v>
      </c>
      <c r="AW423">
        <f t="shared" si="86"/>
        <v>0</v>
      </c>
      <c r="AX423">
        <f t="shared" si="87"/>
        <v>0</v>
      </c>
      <c r="AY423">
        <f t="shared" si="88"/>
        <v>0</v>
      </c>
    </row>
    <row r="424" spans="38:52" x14ac:dyDescent="0.25">
      <c r="AL424" s="19"/>
    </row>
    <row r="425" spans="38:52" x14ac:dyDescent="0.25">
      <c r="AL425" s="19"/>
    </row>
    <row r="426" spans="38:52" x14ac:dyDescent="0.25">
      <c r="AL426" s="19"/>
    </row>
    <row r="427" spans="38:52" x14ac:dyDescent="0.25">
      <c r="AL427" s="19"/>
    </row>
    <row r="428" spans="38:52" x14ac:dyDescent="0.25">
      <c r="AL428" s="19"/>
      <c r="AN428" s="124"/>
    </row>
    <row r="431" spans="38:52" x14ac:dyDescent="0.25">
      <c r="AL431" s="33">
        <v>1</v>
      </c>
      <c r="AM431" s="27" t="s">
        <v>44</v>
      </c>
      <c r="AN431" s="27" t="s">
        <v>45</v>
      </c>
      <c r="AO431" s="27" t="s">
        <v>46</v>
      </c>
      <c r="AP431" s="27" t="s">
        <v>47</v>
      </c>
      <c r="AQ431" s="27" t="s">
        <v>48</v>
      </c>
      <c r="AR431" s="27" t="s">
        <v>49</v>
      </c>
      <c r="AS431" s="27" t="s">
        <v>50</v>
      </c>
      <c r="AT431" s="27" t="s">
        <v>51</v>
      </c>
      <c r="AU431" s="27" t="s">
        <v>52</v>
      </c>
      <c r="AV431" s="27" t="s">
        <v>53</v>
      </c>
      <c r="AW431" s="27" t="s">
        <v>54</v>
      </c>
      <c r="AX431" s="27" t="s">
        <v>55</v>
      </c>
      <c r="AY431" s="27" t="s">
        <v>56</v>
      </c>
      <c r="AZ431" s="27"/>
    </row>
    <row r="432" spans="38:52" x14ac:dyDescent="0.25">
      <c r="AL432" s="33" t="s">
        <v>36</v>
      </c>
      <c r="AM432" s="27">
        <f>IF((COUNTIF(AM433:AM566,"&gt;0"))=0, "", (COUNTIF(AM433:AM566,"&gt;0")))</f>
        <v>16</v>
      </c>
      <c r="AN432" s="27">
        <f t="shared" ref="AN432:AX432" si="90">IF((COUNTIF(AN433:AN566,"&gt;0"))=0, "", (COUNTIF(AN433:AN566,"&gt;0")))</f>
        <v>16</v>
      </c>
      <c r="AO432" s="27">
        <f t="shared" si="90"/>
        <v>15</v>
      </c>
      <c r="AP432" s="27">
        <f t="shared" si="90"/>
        <v>9</v>
      </c>
      <c r="AQ432" s="27">
        <f t="shared" si="90"/>
        <v>16</v>
      </c>
      <c r="AR432" s="27">
        <f t="shared" si="90"/>
        <v>14</v>
      </c>
      <c r="AS432" s="27">
        <f t="shared" si="90"/>
        <v>14</v>
      </c>
      <c r="AT432" s="27">
        <f t="shared" si="90"/>
        <v>10</v>
      </c>
      <c r="AU432" s="27">
        <f t="shared" si="90"/>
        <v>13</v>
      </c>
      <c r="AV432" s="27">
        <f t="shared" si="90"/>
        <v>10</v>
      </c>
      <c r="AW432" s="27">
        <f t="shared" si="90"/>
        <v>11</v>
      </c>
      <c r="AX432" s="27">
        <f t="shared" si="90"/>
        <v>11</v>
      </c>
      <c r="AY432" s="27">
        <f>IF((COUNTIF(AY433:AY566,"&gt;0"))=0, "", (COUNTIF(AY433:AY566,"&gt;0")))</f>
        <v>9</v>
      </c>
      <c r="AZ432" s="27" t="str">
        <f t="shared" ref="AZ432" si="91">IF(COUNTIF(AZ433:AZ566,"&gt;0")=0,"",COUNTIF(AZ433:AZ566,"&gt;0"))</f>
        <v/>
      </c>
    </row>
    <row r="433" spans="38:51" x14ac:dyDescent="0.25">
      <c r="AL433" s="19" t="s">
        <v>65</v>
      </c>
      <c r="AM433">
        <f>COUNTIF($AM8:$AS8,"&gt;=100%")</f>
        <v>0</v>
      </c>
      <c r="AN433">
        <f>COUNTIF($AU8:$BA8,"&gt;=100%")</f>
        <v>0</v>
      </c>
      <c r="AO433">
        <f>COUNTIF($BC8:$BI8,"&gt;=100%")</f>
        <v>1</v>
      </c>
      <c r="AP433">
        <f>COUNTIF($BK8:$BQ8,"&gt;=100%")</f>
        <v>0</v>
      </c>
      <c r="AQ433">
        <f>COUNTIF($BS8:$BY8,"&gt;=100%")</f>
        <v>1</v>
      </c>
      <c r="AR433">
        <f>COUNTIF($CA8:$CG8,"&gt;=100%")</f>
        <v>0</v>
      </c>
      <c r="AS433">
        <f>COUNTIF($CI8:$CO8,"&gt;=100%")</f>
        <v>0</v>
      </c>
      <c r="AT433">
        <f>COUNTIF($CQ8:$CW8,"&gt;=100%")</f>
        <v>0</v>
      </c>
      <c r="AU433">
        <f>COUNTIF($CY8:$DE8,"&gt;=100%")</f>
        <v>0</v>
      </c>
      <c r="AV433">
        <f>COUNTIF($DG8:$DM8,"&gt;=100%")</f>
        <v>0</v>
      </c>
      <c r="AW433">
        <f>COUNTIF($DO8:$DU8,"&gt;=100%")</f>
        <v>0</v>
      </c>
      <c r="AX433">
        <f>COUNTIF($DW8:$EC8,"&gt;=100%")</f>
        <v>0</v>
      </c>
      <c r="AY433">
        <f>COUNTIF($EE8:$EK8,"&gt;=100%")</f>
        <v>0</v>
      </c>
    </row>
    <row r="434" spans="38:51" x14ac:dyDescent="0.25">
      <c r="AL434" s="19" t="s">
        <v>66</v>
      </c>
      <c r="AM434">
        <f t="shared" ref="AM434:AM497" si="92">COUNTIF($AM9:$AS9,"&gt;=100%")</f>
        <v>0</v>
      </c>
      <c r="AN434">
        <f t="shared" ref="AN434:AN497" si="93">COUNTIF($AU9:$BA9,"&gt;=100%")</f>
        <v>0</v>
      </c>
      <c r="AO434">
        <f t="shared" ref="AO434:AO497" si="94">COUNTIF($BC9:$BI9,"&gt;=100%")</f>
        <v>0</v>
      </c>
      <c r="AP434">
        <f t="shared" ref="AP434:AP497" si="95">COUNTIF($BK9:$BQ9,"&gt;=100%")</f>
        <v>0</v>
      </c>
      <c r="AQ434">
        <f t="shared" ref="AQ434:AQ497" si="96">COUNTIF($BS9:$BY9,"&gt;=100%")</f>
        <v>0</v>
      </c>
      <c r="AR434">
        <f t="shared" ref="AR434:AR497" si="97">COUNTIF($CA9:$CG9,"&gt;=100%")</f>
        <v>0</v>
      </c>
      <c r="AS434">
        <f t="shared" ref="AS434:AS497" si="98">COUNTIF($CI9:$CO9,"&gt;=100%")</f>
        <v>0</v>
      </c>
      <c r="AT434">
        <f t="shared" ref="AT434:AT497" si="99">COUNTIF($CQ9:$CW9,"&gt;=100%")</f>
        <v>0</v>
      </c>
      <c r="AU434">
        <f t="shared" ref="AU434:AU497" si="100">COUNTIF($CY9:$DE9,"&gt;=100%")</f>
        <v>0</v>
      </c>
      <c r="AV434">
        <f t="shared" ref="AV434:AV497" si="101">COUNTIF($DG9:$DM9,"&gt;=100%")</f>
        <v>0</v>
      </c>
      <c r="AW434">
        <f t="shared" ref="AW434:AW497" si="102">COUNTIF($DO9:$DU9,"&gt;=100%")</f>
        <v>0</v>
      </c>
      <c r="AX434">
        <f t="shared" ref="AX434:AX497" si="103">COUNTIF($DW9:$EC9,"&gt;=100%")</f>
        <v>0</v>
      </c>
      <c r="AY434">
        <f t="shared" ref="AY434:AY497" si="104">COUNTIF($EE9:$EK9,"&gt;=100%")</f>
        <v>0</v>
      </c>
    </row>
    <row r="435" spans="38:51" x14ac:dyDescent="0.25">
      <c r="AL435" s="19" t="s">
        <v>67</v>
      </c>
      <c r="AM435">
        <f t="shared" si="92"/>
        <v>0</v>
      </c>
      <c r="AN435">
        <f t="shared" si="93"/>
        <v>0</v>
      </c>
      <c r="AO435">
        <f t="shared" si="94"/>
        <v>0</v>
      </c>
      <c r="AP435">
        <f t="shared" si="95"/>
        <v>0</v>
      </c>
      <c r="AQ435">
        <f t="shared" si="96"/>
        <v>0</v>
      </c>
      <c r="AR435">
        <f t="shared" si="97"/>
        <v>0</v>
      </c>
      <c r="AS435">
        <f t="shared" si="98"/>
        <v>0</v>
      </c>
      <c r="AT435">
        <f t="shared" si="99"/>
        <v>1</v>
      </c>
      <c r="AU435">
        <f t="shared" si="100"/>
        <v>0</v>
      </c>
      <c r="AV435">
        <f t="shared" si="101"/>
        <v>0</v>
      </c>
      <c r="AW435">
        <f t="shared" si="102"/>
        <v>1</v>
      </c>
      <c r="AX435">
        <f t="shared" si="103"/>
        <v>0</v>
      </c>
      <c r="AY435">
        <f t="shared" si="104"/>
        <v>0</v>
      </c>
    </row>
    <row r="436" spans="38:51" x14ac:dyDescent="0.25">
      <c r="AL436" s="19" t="s">
        <v>68</v>
      </c>
      <c r="AM436">
        <f t="shared" si="92"/>
        <v>1</v>
      </c>
      <c r="AN436">
        <f t="shared" si="93"/>
        <v>0</v>
      </c>
      <c r="AO436">
        <f t="shared" si="94"/>
        <v>0</v>
      </c>
      <c r="AP436">
        <f t="shared" si="95"/>
        <v>1</v>
      </c>
      <c r="AQ436">
        <f t="shared" si="96"/>
        <v>0</v>
      </c>
      <c r="AR436">
        <f t="shared" si="97"/>
        <v>0</v>
      </c>
      <c r="AS436">
        <f t="shared" si="98"/>
        <v>0</v>
      </c>
      <c r="AT436">
        <f t="shared" si="99"/>
        <v>0</v>
      </c>
      <c r="AU436">
        <f t="shared" si="100"/>
        <v>0</v>
      </c>
      <c r="AV436">
        <f t="shared" si="101"/>
        <v>0</v>
      </c>
      <c r="AW436">
        <f t="shared" si="102"/>
        <v>0</v>
      </c>
      <c r="AX436">
        <f t="shared" si="103"/>
        <v>0</v>
      </c>
      <c r="AY436">
        <f t="shared" si="104"/>
        <v>0</v>
      </c>
    </row>
    <row r="437" spans="38:51" x14ac:dyDescent="0.25">
      <c r="AL437" s="19" t="s">
        <v>69</v>
      </c>
      <c r="AM437">
        <f t="shared" si="92"/>
        <v>0</v>
      </c>
      <c r="AN437">
        <f t="shared" si="93"/>
        <v>0</v>
      </c>
      <c r="AO437">
        <f t="shared" si="94"/>
        <v>0</v>
      </c>
      <c r="AP437">
        <f t="shared" si="95"/>
        <v>0</v>
      </c>
      <c r="AQ437">
        <f t="shared" si="96"/>
        <v>1</v>
      </c>
      <c r="AR437">
        <f t="shared" si="97"/>
        <v>0</v>
      </c>
      <c r="AS437">
        <f t="shared" si="98"/>
        <v>0</v>
      </c>
      <c r="AT437">
        <f t="shared" si="99"/>
        <v>0</v>
      </c>
      <c r="AU437">
        <f t="shared" si="100"/>
        <v>2</v>
      </c>
      <c r="AV437">
        <f t="shared" si="101"/>
        <v>0</v>
      </c>
      <c r="AW437">
        <f t="shared" si="102"/>
        <v>0</v>
      </c>
      <c r="AX437">
        <f t="shared" si="103"/>
        <v>0</v>
      </c>
      <c r="AY437">
        <f t="shared" si="104"/>
        <v>0</v>
      </c>
    </row>
    <row r="438" spans="38:51" x14ac:dyDescent="0.25">
      <c r="AL438" s="19" t="s">
        <v>70</v>
      </c>
      <c r="AM438">
        <f t="shared" si="92"/>
        <v>0</v>
      </c>
      <c r="AN438">
        <f t="shared" si="93"/>
        <v>0</v>
      </c>
      <c r="AO438">
        <f t="shared" si="94"/>
        <v>0</v>
      </c>
      <c r="AP438">
        <f t="shared" si="95"/>
        <v>0</v>
      </c>
      <c r="AQ438">
        <f t="shared" si="96"/>
        <v>0</v>
      </c>
      <c r="AR438">
        <f t="shared" si="97"/>
        <v>0</v>
      </c>
      <c r="AS438">
        <f t="shared" si="98"/>
        <v>0</v>
      </c>
      <c r="AT438">
        <f t="shared" si="99"/>
        <v>0</v>
      </c>
      <c r="AU438">
        <f t="shared" si="100"/>
        <v>0</v>
      </c>
      <c r="AV438">
        <f t="shared" si="101"/>
        <v>0</v>
      </c>
      <c r="AW438">
        <f t="shared" si="102"/>
        <v>0</v>
      </c>
      <c r="AX438">
        <f t="shared" si="103"/>
        <v>0</v>
      </c>
      <c r="AY438">
        <f t="shared" si="104"/>
        <v>0</v>
      </c>
    </row>
    <row r="439" spans="38:51" x14ac:dyDescent="0.25">
      <c r="AL439" s="19" t="s">
        <v>71</v>
      </c>
      <c r="AM439">
        <f t="shared" si="92"/>
        <v>2</v>
      </c>
      <c r="AN439">
        <f t="shared" si="93"/>
        <v>0</v>
      </c>
      <c r="AO439">
        <f t="shared" si="94"/>
        <v>0</v>
      </c>
      <c r="AP439">
        <f t="shared" si="95"/>
        <v>0</v>
      </c>
      <c r="AQ439">
        <f t="shared" si="96"/>
        <v>1</v>
      </c>
      <c r="AR439">
        <f t="shared" si="97"/>
        <v>0</v>
      </c>
      <c r="AS439">
        <f t="shared" si="98"/>
        <v>0</v>
      </c>
      <c r="AT439">
        <f t="shared" si="99"/>
        <v>0</v>
      </c>
      <c r="AU439">
        <f t="shared" si="100"/>
        <v>3</v>
      </c>
      <c r="AV439">
        <f t="shared" si="101"/>
        <v>0</v>
      </c>
      <c r="AW439">
        <f t="shared" si="102"/>
        <v>0</v>
      </c>
      <c r="AX439">
        <f t="shared" si="103"/>
        <v>0</v>
      </c>
      <c r="AY439">
        <f t="shared" si="104"/>
        <v>0</v>
      </c>
    </row>
    <row r="440" spans="38:51" x14ac:dyDescent="0.25">
      <c r="AL440" s="19" t="s">
        <v>72</v>
      </c>
      <c r="AM440">
        <f t="shared" si="92"/>
        <v>0</v>
      </c>
      <c r="AN440">
        <f t="shared" si="93"/>
        <v>0</v>
      </c>
      <c r="AO440">
        <f t="shared" si="94"/>
        <v>1</v>
      </c>
      <c r="AP440">
        <f t="shared" si="95"/>
        <v>2</v>
      </c>
      <c r="AQ440">
        <f t="shared" si="96"/>
        <v>4</v>
      </c>
      <c r="AR440">
        <f t="shared" si="97"/>
        <v>1</v>
      </c>
      <c r="AS440">
        <f t="shared" si="98"/>
        <v>0</v>
      </c>
      <c r="AT440">
        <f t="shared" si="99"/>
        <v>1</v>
      </c>
      <c r="AU440">
        <f t="shared" si="100"/>
        <v>0</v>
      </c>
      <c r="AV440">
        <f t="shared" si="101"/>
        <v>1</v>
      </c>
      <c r="AW440">
        <f t="shared" si="102"/>
        <v>1</v>
      </c>
      <c r="AX440">
        <f t="shared" si="103"/>
        <v>1</v>
      </c>
      <c r="AY440">
        <f t="shared" si="104"/>
        <v>2</v>
      </c>
    </row>
    <row r="441" spans="38:51" x14ac:dyDescent="0.25">
      <c r="AL441" s="19" t="s">
        <v>73</v>
      </c>
      <c r="AM441">
        <f t="shared" si="92"/>
        <v>0</v>
      </c>
      <c r="AN441">
        <f t="shared" si="93"/>
        <v>0</v>
      </c>
      <c r="AO441">
        <f t="shared" si="94"/>
        <v>0</v>
      </c>
      <c r="AP441">
        <f t="shared" si="95"/>
        <v>0</v>
      </c>
      <c r="AQ441">
        <f t="shared" si="96"/>
        <v>0</v>
      </c>
      <c r="AR441">
        <f t="shared" si="97"/>
        <v>0</v>
      </c>
      <c r="AS441">
        <f t="shared" si="98"/>
        <v>0</v>
      </c>
      <c r="AT441">
        <f t="shared" si="99"/>
        <v>0</v>
      </c>
      <c r="AU441">
        <f t="shared" si="100"/>
        <v>0</v>
      </c>
      <c r="AV441">
        <f t="shared" si="101"/>
        <v>0</v>
      </c>
      <c r="AW441">
        <f t="shared" si="102"/>
        <v>0</v>
      </c>
      <c r="AX441">
        <f t="shared" si="103"/>
        <v>0</v>
      </c>
      <c r="AY441">
        <f t="shared" si="104"/>
        <v>0</v>
      </c>
    </row>
    <row r="442" spans="38:51" x14ac:dyDescent="0.25">
      <c r="AL442" s="19" t="s">
        <v>74</v>
      </c>
      <c r="AM442">
        <f t="shared" si="92"/>
        <v>0</v>
      </c>
      <c r="AN442">
        <f t="shared" si="93"/>
        <v>0</v>
      </c>
      <c r="AO442">
        <f t="shared" si="94"/>
        <v>0</v>
      </c>
      <c r="AP442">
        <f t="shared" si="95"/>
        <v>0</v>
      </c>
      <c r="AQ442">
        <f t="shared" si="96"/>
        <v>0</v>
      </c>
      <c r="AR442">
        <f t="shared" si="97"/>
        <v>0</v>
      </c>
      <c r="AS442">
        <f t="shared" si="98"/>
        <v>0</v>
      </c>
      <c r="AT442">
        <f t="shared" si="99"/>
        <v>0</v>
      </c>
      <c r="AU442">
        <f t="shared" si="100"/>
        <v>0</v>
      </c>
      <c r="AV442">
        <f t="shared" si="101"/>
        <v>0</v>
      </c>
      <c r="AW442">
        <f t="shared" si="102"/>
        <v>0</v>
      </c>
      <c r="AX442">
        <f t="shared" si="103"/>
        <v>0</v>
      </c>
      <c r="AY442">
        <f t="shared" si="104"/>
        <v>0</v>
      </c>
    </row>
    <row r="443" spans="38:51" x14ac:dyDescent="0.25">
      <c r="AL443" s="19" t="s">
        <v>75</v>
      </c>
      <c r="AM443">
        <f t="shared" si="92"/>
        <v>0</v>
      </c>
      <c r="AN443">
        <f t="shared" si="93"/>
        <v>0</v>
      </c>
      <c r="AO443">
        <f t="shared" si="94"/>
        <v>0</v>
      </c>
      <c r="AP443">
        <f t="shared" si="95"/>
        <v>0</v>
      </c>
      <c r="AQ443">
        <f t="shared" si="96"/>
        <v>0</v>
      </c>
      <c r="AR443">
        <f t="shared" si="97"/>
        <v>0</v>
      </c>
      <c r="AS443">
        <f t="shared" si="98"/>
        <v>0</v>
      </c>
      <c r="AT443">
        <f t="shared" si="99"/>
        <v>0</v>
      </c>
      <c r="AU443">
        <f t="shared" si="100"/>
        <v>0</v>
      </c>
      <c r="AV443">
        <f t="shared" si="101"/>
        <v>0</v>
      </c>
      <c r="AW443">
        <f t="shared" si="102"/>
        <v>0</v>
      </c>
      <c r="AX443">
        <f t="shared" si="103"/>
        <v>0</v>
      </c>
      <c r="AY443">
        <f t="shared" si="104"/>
        <v>0</v>
      </c>
    </row>
    <row r="444" spans="38:51" x14ac:dyDescent="0.25">
      <c r="AL444" s="19" t="s">
        <v>76</v>
      </c>
      <c r="AM444">
        <f t="shared" si="92"/>
        <v>0</v>
      </c>
      <c r="AN444">
        <f t="shared" si="93"/>
        <v>1</v>
      </c>
      <c r="AO444">
        <f t="shared" si="94"/>
        <v>0</v>
      </c>
      <c r="AP444">
        <f t="shared" si="95"/>
        <v>0</v>
      </c>
      <c r="AQ444">
        <f t="shared" si="96"/>
        <v>0</v>
      </c>
      <c r="AR444">
        <f t="shared" si="97"/>
        <v>0</v>
      </c>
      <c r="AS444">
        <f t="shared" si="98"/>
        <v>0</v>
      </c>
      <c r="AT444">
        <f t="shared" si="99"/>
        <v>0</v>
      </c>
      <c r="AU444">
        <f t="shared" si="100"/>
        <v>0</v>
      </c>
      <c r="AV444">
        <f t="shared" si="101"/>
        <v>0</v>
      </c>
      <c r="AW444">
        <f t="shared" si="102"/>
        <v>0</v>
      </c>
      <c r="AX444">
        <f t="shared" si="103"/>
        <v>0</v>
      </c>
      <c r="AY444">
        <f t="shared" si="104"/>
        <v>0</v>
      </c>
    </row>
    <row r="445" spans="38:51" x14ac:dyDescent="0.25">
      <c r="AL445" s="19" t="s">
        <v>77</v>
      </c>
      <c r="AM445">
        <f t="shared" si="92"/>
        <v>0</v>
      </c>
      <c r="AN445">
        <f t="shared" si="93"/>
        <v>0</v>
      </c>
      <c r="AO445">
        <f t="shared" si="94"/>
        <v>0</v>
      </c>
      <c r="AP445">
        <f t="shared" si="95"/>
        <v>0</v>
      </c>
      <c r="AQ445">
        <f t="shared" si="96"/>
        <v>0</v>
      </c>
      <c r="AR445">
        <f t="shared" si="97"/>
        <v>0</v>
      </c>
      <c r="AS445">
        <f t="shared" si="98"/>
        <v>0</v>
      </c>
      <c r="AT445">
        <f t="shared" si="99"/>
        <v>0</v>
      </c>
      <c r="AU445">
        <f t="shared" si="100"/>
        <v>0</v>
      </c>
      <c r="AV445">
        <f t="shared" si="101"/>
        <v>0</v>
      </c>
      <c r="AW445">
        <f t="shared" si="102"/>
        <v>0</v>
      </c>
      <c r="AX445">
        <f t="shared" si="103"/>
        <v>0</v>
      </c>
      <c r="AY445">
        <f t="shared" si="104"/>
        <v>0</v>
      </c>
    </row>
    <row r="446" spans="38:51" x14ac:dyDescent="0.25">
      <c r="AL446" s="19" t="s">
        <v>78</v>
      </c>
      <c r="AM446">
        <f t="shared" si="92"/>
        <v>0</v>
      </c>
      <c r="AN446">
        <f t="shared" si="93"/>
        <v>0</v>
      </c>
      <c r="AO446">
        <f t="shared" si="94"/>
        <v>0</v>
      </c>
      <c r="AP446">
        <f t="shared" si="95"/>
        <v>0</v>
      </c>
      <c r="AQ446">
        <f t="shared" si="96"/>
        <v>0</v>
      </c>
      <c r="AR446">
        <f t="shared" si="97"/>
        <v>1</v>
      </c>
      <c r="AS446">
        <f t="shared" si="98"/>
        <v>2</v>
      </c>
      <c r="AT446">
        <f t="shared" si="99"/>
        <v>0</v>
      </c>
      <c r="AU446">
        <f t="shared" si="100"/>
        <v>0</v>
      </c>
      <c r="AV446">
        <f t="shared" si="101"/>
        <v>0</v>
      </c>
      <c r="AW446">
        <f t="shared" si="102"/>
        <v>0</v>
      </c>
      <c r="AX446">
        <f t="shared" si="103"/>
        <v>0</v>
      </c>
      <c r="AY446">
        <f t="shared" si="104"/>
        <v>0</v>
      </c>
    </row>
    <row r="447" spans="38:51" x14ac:dyDescent="0.25">
      <c r="AL447" s="19" t="s">
        <v>79</v>
      </c>
      <c r="AM447">
        <f t="shared" si="92"/>
        <v>0</v>
      </c>
      <c r="AN447">
        <f t="shared" si="93"/>
        <v>0</v>
      </c>
      <c r="AO447">
        <f t="shared" si="94"/>
        <v>0</v>
      </c>
      <c r="AP447">
        <f t="shared" si="95"/>
        <v>0</v>
      </c>
      <c r="AQ447">
        <f t="shared" si="96"/>
        <v>0</v>
      </c>
      <c r="AR447">
        <f t="shared" si="97"/>
        <v>0</v>
      </c>
      <c r="AS447">
        <f t="shared" si="98"/>
        <v>0</v>
      </c>
      <c r="AT447">
        <f t="shared" si="99"/>
        <v>0</v>
      </c>
      <c r="AU447">
        <f t="shared" si="100"/>
        <v>0</v>
      </c>
      <c r="AV447">
        <f t="shared" si="101"/>
        <v>0</v>
      </c>
      <c r="AW447">
        <f t="shared" si="102"/>
        <v>0</v>
      </c>
      <c r="AX447">
        <f t="shared" si="103"/>
        <v>0</v>
      </c>
      <c r="AY447">
        <f t="shared" si="104"/>
        <v>0</v>
      </c>
    </row>
    <row r="448" spans="38:51" x14ac:dyDescent="0.25">
      <c r="AL448" s="19" t="s">
        <v>80</v>
      </c>
      <c r="AM448">
        <f t="shared" si="92"/>
        <v>0</v>
      </c>
      <c r="AN448">
        <f t="shared" si="93"/>
        <v>0</v>
      </c>
      <c r="AO448">
        <f t="shared" si="94"/>
        <v>0</v>
      </c>
      <c r="AP448">
        <f t="shared" si="95"/>
        <v>0</v>
      </c>
      <c r="AQ448">
        <f t="shared" si="96"/>
        <v>0</v>
      </c>
      <c r="AR448">
        <f t="shared" si="97"/>
        <v>0</v>
      </c>
      <c r="AS448">
        <f t="shared" si="98"/>
        <v>0</v>
      </c>
      <c r="AT448">
        <f t="shared" si="99"/>
        <v>0</v>
      </c>
      <c r="AU448">
        <f t="shared" si="100"/>
        <v>0</v>
      </c>
      <c r="AV448">
        <f t="shared" si="101"/>
        <v>0</v>
      </c>
      <c r="AW448">
        <f t="shared" si="102"/>
        <v>0</v>
      </c>
      <c r="AX448">
        <f t="shared" si="103"/>
        <v>0</v>
      </c>
      <c r="AY448">
        <f t="shared" si="104"/>
        <v>0</v>
      </c>
    </row>
    <row r="449" spans="38:51" x14ac:dyDescent="0.25">
      <c r="AL449" s="19" t="s">
        <v>81</v>
      </c>
      <c r="AM449">
        <f t="shared" si="92"/>
        <v>0</v>
      </c>
      <c r="AN449">
        <f t="shared" si="93"/>
        <v>0</v>
      </c>
      <c r="AO449">
        <f t="shared" si="94"/>
        <v>0</v>
      </c>
      <c r="AP449">
        <f t="shared" si="95"/>
        <v>0</v>
      </c>
      <c r="AQ449">
        <f t="shared" si="96"/>
        <v>0</v>
      </c>
      <c r="AR449">
        <f t="shared" si="97"/>
        <v>0</v>
      </c>
      <c r="AS449">
        <f t="shared" si="98"/>
        <v>0</v>
      </c>
      <c r="AT449">
        <f t="shared" si="99"/>
        <v>0</v>
      </c>
      <c r="AU449">
        <f t="shared" si="100"/>
        <v>0</v>
      </c>
      <c r="AV449">
        <f t="shared" si="101"/>
        <v>0</v>
      </c>
      <c r="AW449">
        <f t="shared" si="102"/>
        <v>0</v>
      </c>
      <c r="AX449">
        <f t="shared" si="103"/>
        <v>0</v>
      </c>
      <c r="AY449">
        <f t="shared" si="104"/>
        <v>0</v>
      </c>
    </row>
    <row r="450" spans="38:51" x14ac:dyDescent="0.25">
      <c r="AL450" s="19" t="s">
        <v>82</v>
      </c>
      <c r="AM450">
        <f t="shared" si="92"/>
        <v>0</v>
      </c>
      <c r="AN450">
        <f t="shared" si="93"/>
        <v>0</v>
      </c>
      <c r="AO450">
        <f t="shared" si="94"/>
        <v>0</v>
      </c>
      <c r="AP450">
        <f t="shared" si="95"/>
        <v>0</v>
      </c>
      <c r="AQ450">
        <f t="shared" si="96"/>
        <v>0</v>
      </c>
      <c r="AR450">
        <f t="shared" si="97"/>
        <v>0</v>
      </c>
      <c r="AS450">
        <f t="shared" si="98"/>
        <v>0</v>
      </c>
      <c r="AT450">
        <f t="shared" si="99"/>
        <v>0</v>
      </c>
      <c r="AU450">
        <f t="shared" si="100"/>
        <v>0</v>
      </c>
      <c r="AV450">
        <f t="shared" si="101"/>
        <v>0</v>
      </c>
      <c r="AW450">
        <f t="shared" si="102"/>
        <v>0</v>
      </c>
      <c r="AX450">
        <f t="shared" si="103"/>
        <v>0</v>
      </c>
      <c r="AY450">
        <f t="shared" si="104"/>
        <v>0</v>
      </c>
    </row>
    <row r="451" spans="38:51" x14ac:dyDescent="0.25">
      <c r="AL451" s="19" t="s">
        <v>83</v>
      </c>
      <c r="AM451">
        <f t="shared" si="92"/>
        <v>0</v>
      </c>
      <c r="AN451">
        <f t="shared" si="93"/>
        <v>0</v>
      </c>
      <c r="AO451">
        <f t="shared" si="94"/>
        <v>0</v>
      </c>
      <c r="AP451">
        <f t="shared" si="95"/>
        <v>0</v>
      </c>
      <c r="AQ451">
        <f t="shared" si="96"/>
        <v>0</v>
      </c>
      <c r="AR451">
        <f t="shared" si="97"/>
        <v>0</v>
      </c>
      <c r="AS451">
        <f t="shared" si="98"/>
        <v>0</v>
      </c>
      <c r="AT451">
        <f t="shared" si="99"/>
        <v>0</v>
      </c>
      <c r="AU451">
        <f t="shared" si="100"/>
        <v>0</v>
      </c>
      <c r="AV451">
        <f t="shared" si="101"/>
        <v>0</v>
      </c>
      <c r="AW451">
        <f t="shared" si="102"/>
        <v>0</v>
      </c>
      <c r="AX451">
        <f t="shared" si="103"/>
        <v>0</v>
      </c>
      <c r="AY451">
        <f t="shared" si="104"/>
        <v>0</v>
      </c>
    </row>
    <row r="452" spans="38:51" x14ac:dyDescent="0.25">
      <c r="AL452" s="19" t="s">
        <v>84</v>
      </c>
      <c r="AM452">
        <f t="shared" si="92"/>
        <v>0</v>
      </c>
      <c r="AN452">
        <f t="shared" si="93"/>
        <v>0</v>
      </c>
      <c r="AO452">
        <f t="shared" si="94"/>
        <v>0</v>
      </c>
      <c r="AP452">
        <f t="shared" si="95"/>
        <v>0</v>
      </c>
      <c r="AQ452">
        <f t="shared" si="96"/>
        <v>0</v>
      </c>
      <c r="AR452">
        <f t="shared" si="97"/>
        <v>0</v>
      </c>
      <c r="AS452">
        <f t="shared" si="98"/>
        <v>0</v>
      </c>
      <c r="AT452">
        <f t="shared" si="99"/>
        <v>0</v>
      </c>
      <c r="AU452">
        <f t="shared" si="100"/>
        <v>0</v>
      </c>
      <c r="AV452">
        <f t="shared" si="101"/>
        <v>0</v>
      </c>
      <c r="AW452">
        <f t="shared" si="102"/>
        <v>0</v>
      </c>
      <c r="AX452">
        <f t="shared" si="103"/>
        <v>0</v>
      </c>
      <c r="AY452">
        <f t="shared" si="104"/>
        <v>0</v>
      </c>
    </row>
    <row r="453" spans="38:51" x14ac:dyDescent="0.25">
      <c r="AL453" s="19" t="s">
        <v>85</v>
      </c>
      <c r="AM453">
        <f t="shared" si="92"/>
        <v>2</v>
      </c>
      <c r="AN453">
        <f t="shared" si="93"/>
        <v>0</v>
      </c>
      <c r="AO453">
        <f t="shared" si="94"/>
        <v>2</v>
      </c>
      <c r="AP453">
        <f t="shared" si="95"/>
        <v>1</v>
      </c>
      <c r="AQ453">
        <f t="shared" si="96"/>
        <v>2</v>
      </c>
      <c r="AR453">
        <f t="shared" si="97"/>
        <v>1</v>
      </c>
      <c r="AS453">
        <f t="shared" si="98"/>
        <v>0</v>
      </c>
      <c r="AT453">
        <f t="shared" si="99"/>
        <v>1</v>
      </c>
      <c r="AU453">
        <f t="shared" si="100"/>
        <v>1</v>
      </c>
      <c r="AV453">
        <f t="shared" si="101"/>
        <v>0</v>
      </c>
      <c r="AW453">
        <f t="shared" si="102"/>
        <v>0</v>
      </c>
      <c r="AX453">
        <f t="shared" si="103"/>
        <v>1</v>
      </c>
      <c r="AY453">
        <f t="shared" si="104"/>
        <v>1</v>
      </c>
    </row>
    <row r="454" spans="38:51" x14ac:dyDescent="0.25">
      <c r="AL454" s="19" t="s">
        <v>86</v>
      </c>
      <c r="AM454">
        <f t="shared" si="92"/>
        <v>0</v>
      </c>
      <c r="AN454">
        <f t="shared" si="93"/>
        <v>0</v>
      </c>
      <c r="AO454">
        <f t="shared" si="94"/>
        <v>0</v>
      </c>
      <c r="AP454">
        <f t="shared" si="95"/>
        <v>0</v>
      </c>
      <c r="AQ454">
        <f t="shared" si="96"/>
        <v>0</v>
      </c>
      <c r="AR454">
        <f t="shared" si="97"/>
        <v>0</v>
      </c>
      <c r="AS454">
        <f t="shared" si="98"/>
        <v>0</v>
      </c>
      <c r="AT454">
        <f t="shared" si="99"/>
        <v>0</v>
      </c>
      <c r="AU454">
        <f t="shared" si="100"/>
        <v>0</v>
      </c>
      <c r="AV454">
        <f t="shared" si="101"/>
        <v>0</v>
      </c>
      <c r="AW454">
        <f t="shared" si="102"/>
        <v>0</v>
      </c>
      <c r="AX454">
        <f t="shared" si="103"/>
        <v>0</v>
      </c>
      <c r="AY454">
        <f t="shared" si="104"/>
        <v>0</v>
      </c>
    </row>
    <row r="455" spans="38:51" x14ac:dyDescent="0.25">
      <c r="AL455" s="19" t="s">
        <v>87</v>
      </c>
      <c r="AM455">
        <f t="shared" si="92"/>
        <v>0</v>
      </c>
      <c r="AN455">
        <f t="shared" si="93"/>
        <v>0</v>
      </c>
      <c r="AO455">
        <f t="shared" si="94"/>
        <v>0</v>
      </c>
      <c r="AP455">
        <f t="shared" si="95"/>
        <v>0</v>
      </c>
      <c r="AQ455">
        <f t="shared" si="96"/>
        <v>0</v>
      </c>
      <c r="AR455">
        <f t="shared" si="97"/>
        <v>0</v>
      </c>
      <c r="AS455">
        <f t="shared" si="98"/>
        <v>0</v>
      </c>
      <c r="AT455">
        <f t="shared" si="99"/>
        <v>0</v>
      </c>
      <c r="AU455">
        <f t="shared" si="100"/>
        <v>0</v>
      </c>
      <c r="AV455">
        <f t="shared" si="101"/>
        <v>0</v>
      </c>
      <c r="AW455">
        <f t="shared" si="102"/>
        <v>0</v>
      </c>
      <c r="AX455">
        <f t="shared" si="103"/>
        <v>0</v>
      </c>
      <c r="AY455">
        <f t="shared" si="104"/>
        <v>0</v>
      </c>
    </row>
    <row r="456" spans="38:51" x14ac:dyDescent="0.25">
      <c r="AL456" s="19" t="s">
        <v>88</v>
      </c>
      <c r="AM456">
        <f t="shared" si="92"/>
        <v>0</v>
      </c>
      <c r="AN456">
        <f t="shared" si="93"/>
        <v>2</v>
      </c>
      <c r="AO456">
        <f t="shared" si="94"/>
        <v>0</v>
      </c>
      <c r="AP456">
        <f t="shared" si="95"/>
        <v>0</v>
      </c>
      <c r="AQ456">
        <f t="shared" si="96"/>
        <v>0</v>
      </c>
      <c r="AR456">
        <f t="shared" si="97"/>
        <v>0</v>
      </c>
      <c r="AS456">
        <f t="shared" si="98"/>
        <v>0</v>
      </c>
      <c r="AT456">
        <f t="shared" si="99"/>
        <v>0</v>
      </c>
      <c r="AU456">
        <f t="shared" si="100"/>
        <v>0</v>
      </c>
      <c r="AV456">
        <f t="shared" si="101"/>
        <v>0</v>
      </c>
      <c r="AW456">
        <f t="shared" si="102"/>
        <v>0</v>
      </c>
      <c r="AX456">
        <f t="shared" si="103"/>
        <v>0</v>
      </c>
      <c r="AY456">
        <f t="shared" si="104"/>
        <v>0</v>
      </c>
    </row>
    <row r="457" spans="38:51" x14ac:dyDescent="0.25">
      <c r="AL457" s="19" t="s">
        <v>89</v>
      </c>
      <c r="AM457">
        <f t="shared" si="92"/>
        <v>0</v>
      </c>
      <c r="AN457">
        <f t="shared" si="93"/>
        <v>0</v>
      </c>
      <c r="AO457">
        <f t="shared" si="94"/>
        <v>0</v>
      </c>
      <c r="AP457">
        <f t="shared" si="95"/>
        <v>0</v>
      </c>
      <c r="AQ457">
        <f t="shared" si="96"/>
        <v>0</v>
      </c>
      <c r="AR457">
        <f t="shared" si="97"/>
        <v>0</v>
      </c>
      <c r="AS457">
        <f t="shared" si="98"/>
        <v>0</v>
      </c>
      <c r="AT457">
        <f t="shared" si="99"/>
        <v>0</v>
      </c>
      <c r="AU457">
        <f t="shared" si="100"/>
        <v>0</v>
      </c>
      <c r="AV457">
        <f t="shared" si="101"/>
        <v>0</v>
      </c>
      <c r="AW457">
        <f t="shared" si="102"/>
        <v>0</v>
      </c>
      <c r="AX457">
        <f t="shared" si="103"/>
        <v>0</v>
      </c>
      <c r="AY457">
        <f t="shared" si="104"/>
        <v>0</v>
      </c>
    </row>
    <row r="458" spans="38:51" x14ac:dyDescent="0.25">
      <c r="AL458" s="19" t="s">
        <v>90</v>
      </c>
      <c r="AM458">
        <f t="shared" si="92"/>
        <v>0</v>
      </c>
      <c r="AN458">
        <f t="shared" si="93"/>
        <v>0</v>
      </c>
      <c r="AO458">
        <f t="shared" si="94"/>
        <v>0</v>
      </c>
      <c r="AP458">
        <f t="shared" si="95"/>
        <v>0</v>
      </c>
      <c r="AQ458">
        <f t="shared" si="96"/>
        <v>0</v>
      </c>
      <c r="AR458">
        <f t="shared" si="97"/>
        <v>0</v>
      </c>
      <c r="AS458">
        <f t="shared" si="98"/>
        <v>0</v>
      </c>
      <c r="AT458">
        <f t="shared" si="99"/>
        <v>0</v>
      </c>
      <c r="AU458">
        <f t="shared" si="100"/>
        <v>0</v>
      </c>
      <c r="AV458">
        <f t="shared" si="101"/>
        <v>0</v>
      </c>
      <c r="AW458">
        <f t="shared" si="102"/>
        <v>0</v>
      </c>
      <c r="AX458">
        <f t="shared" si="103"/>
        <v>0</v>
      </c>
      <c r="AY458">
        <f t="shared" si="104"/>
        <v>0</v>
      </c>
    </row>
    <row r="459" spans="38:51" x14ac:dyDescent="0.25">
      <c r="AL459" s="19" t="s">
        <v>91</v>
      </c>
      <c r="AM459">
        <f t="shared" si="92"/>
        <v>0</v>
      </c>
      <c r="AN459">
        <f t="shared" si="93"/>
        <v>0</v>
      </c>
      <c r="AO459">
        <f t="shared" si="94"/>
        <v>0</v>
      </c>
      <c r="AP459">
        <f t="shared" si="95"/>
        <v>0</v>
      </c>
      <c r="AQ459">
        <f t="shared" si="96"/>
        <v>0</v>
      </c>
      <c r="AR459">
        <f t="shared" si="97"/>
        <v>0</v>
      </c>
      <c r="AS459">
        <f t="shared" si="98"/>
        <v>0</v>
      </c>
      <c r="AT459">
        <f t="shared" si="99"/>
        <v>0</v>
      </c>
      <c r="AU459">
        <f t="shared" si="100"/>
        <v>0</v>
      </c>
      <c r="AV459">
        <f t="shared" si="101"/>
        <v>0</v>
      </c>
      <c r="AW459">
        <f t="shared" si="102"/>
        <v>0</v>
      </c>
      <c r="AX459">
        <f t="shared" si="103"/>
        <v>0</v>
      </c>
      <c r="AY459">
        <f t="shared" si="104"/>
        <v>0</v>
      </c>
    </row>
    <row r="460" spans="38:51" x14ac:dyDescent="0.25">
      <c r="AL460" s="19" t="s">
        <v>92</v>
      </c>
      <c r="AM460">
        <f t="shared" si="92"/>
        <v>0</v>
      </c>
      <c r="AN460">
        <f t="shared" si="93"/>
        <v>0</v>
      </c>
      <c r="AO460">
        <f t="shared" si="94"/>
        <v>0</v>
      </c>
      <c r="AP460">
        <f t="shared" si="95"/>
        <v>0</v>
      </c>
      <c r="AQ460">
        <f t="shared" si="96"/>
        <v>0</v>
      </c>
      <c r="AR460">
        <f t="shared" si="97"/>
        <v>0</v>
      </c>
      <c r="AS460">
        <f t="shared" si="98"/>
        <v>0</v>
      </c>
      <c r="AT460">
        <f t="shared" si="99"/>
        <v>0</v>
      </c>
      <c r="AU460">
        <f t="shared" si="100"/>
        <v>0</v>
      </c>
      <c r="AV460">
        <f t="shared" si="101"/>
        <v>0</v>
      </c>
      <c r="AW460">
        <f t="shared" si="102"/>
        <v>0</v>
      </c>
      <c r="AX460">
        <f t="shared" si="103"/>
        <v>0</v>
      </c>
      <c r="AY460">
        <f t="shared" si="104"/>
        <v>0</v>
      </c>
    </row>
    <row r="461" spans="38:51" x14ac:dyDescent="0.25">
      <c r="AL461" s="19" t="s">
        <v>288</v>
      </c>
      <c r="AM461">
        <f t="shared" si="92"/>
        <v>0</v>
      </c>
      <c r="AN461">
        <f t="shared" si="93"/>
        <v>0</v>
      </c>
      <c r="AO461">
        <f t="shared" si="94"/>
        <v>0</v>
      </c>
      <c r="AP461">
        <f t="shared" si="95"/>
        <v>0</v>
      </c>
      <c r="AQ461">
        <f t="shared" si="96"/>
        <v>0</v>
      </c>
      <c r="AR461">
        <f t="shared" si="97"/>
        <v>0</v>
      </c>
      <c r="AS461">
        <f t="shared" si="98"/>
        <v>0</v>
      </c>
      <c r="AT461">
        <f t="shared" si="99"/>
        <v>0</v>
      </c>
      <c r="AU461">
        <f t="shared" si="100"/>
        <v>0</v>
      </c>
      <c r="AV461">
        <f t="shared" si="101"/>
        <v>0</v>
      </c>
      <c r="AW461">
        <f t="shared" si="102"/>
        <v>0</v>
      </c>
      <c r="AX461">
        <f t="shared" si="103"/>
        <v>0</v>
      </c>
      <c r="AY461">
        <f t="shared" si="104"/>
        <v>0</v>
      </c>
    </row>
    <row r="462" spans="38:51" x14ac:dyDescent="0.25">
      <c r="AL462" s="19" t="s">
        <v>93</v>
      </c>
      <c r="AM462">
        <f t="shared" si="92"/>
        <v>0</v>
      </c>
      <c r="AN462">
        <f t="shared" si="93"/>
        <v>0</v>
      </c>
      <c r="AO462">
        <f t="shared" si="94"/>
        <v>0</v>
      </c>
      <c r="AP462">
        <f t="shared" si="95"/>
        <v>0</v>
      </c>
      <c r="AQ462">
        <f t="shared" si="96"/>
        <v>0</v>
      </c>
      <c r="AR462">
        <f t="shared" si="97"/>
        <v>0</v>
      </c>
      <c r="AS462">
        <f t="shared" si="98"/>
        <v>0</v>
      </c>
      <c r="AT462">
        <f t="shared" si="99"/>
        <v>0</v>
      </c>
      <c r="AU462">
        <f t="shared" si="100"/>
        <v>0</v>
      </c>
      <c r="AV462">
        <f t="shared" si="101"/>
        <v>0</v>
      </c>
      <c r="AW462">
        <f t="shared" si="102"/>
        <v>0</v>
      </c>
      <c r="AX462">
        <f t="shared" si="103"/>
        <v>0</v>
      </c>
      <c r="AY462">
        <f t="shared" si="104"/>
        <v>0</v>
      </c>
    </row>
    <row r="463" spans="38:51" x14ac:dyDescent="0.25">
      <c r="AL463" s="19" t="s">
        <v>94</v>
      </c>
      <c r="AM463">
        <f t="shared" si="92"/>
        <v>0</v>
      </c>
      <c r="AN463">
        <f t="shared" si="93"/>
        <v>0</v>
      </c>
      <c r="AO463">
        <f t="shared" si="94"/>
        <v>0</v>
      </c>
      <c r="AP463">
        <f t="shared" si="95"/>
        <v>0</v>
      </c>
      <c r="AQ463">
        <f t="shared" si="96"/>
        <v>0</v>
      </c>
      <c r="AR463">
        <f t="shared" si="97"/>
        <v>0</v>
      </c>
      <c r="AS463">
        <f t="shared" si="98"/>
        <v>0</v>
      </c>
      <c r="AT463">
        <f t="shared" si="99"/>
        <v>0</v>
      </c>
      <c r="AU463">
        <f t="shared" si="100"/>
        <v>0</v>
      </c>
      <c r="AV463">
        <f t="shared" si="101"/>
        <v>0</v>
      </c>
      <c r="AW463">
        <f t="shared" si="102"/>
        <v>0</v>
      </c>
      <c r="AX463">
        <f t="shared" si="103"/>
        <v>0</v>
      </c>
      <c r="AY463">
        <f t="shared" si="104"/>
        <v>0</v>
      </c>
    </row>
    <row r="464" spans="38:51" x14ac:dyDescent="0.25">
      <c r="AL464" s="19" t="s">
        <v>95</v>
      </c>
      <c r="AM464">
        <f t="shared" si="92"/>
        <v>0</v>
      </c>
      <c r="AN464">
        <f t="shared" si="93"/>
        <v>0</v>
      </c>
      <c r="AO464">
        <f t="shared" si="94"/>
        <v>0</v>
      </c>
      <c r="AP464">
        <f t="shared" si="95"/>
        <v>0</v>
      </c>
      <c r="AQ464">
        <f t="shared" si="96"/>
        <v>0</v>
      </c>
      <c r="AR464">
        <f t="shared" si="97"/>
        <v>0</v>
      </c>
      <c r="AS464">
        <f t="shared" si="98"/>
        <v>0</v>
      </c>
      <c r="AT464">
        <f t="shared" si="99"/>
        <v>0</v>
      </c>
      <c r="AU464">
        <f t="shared" si="100"/>
        <v>0</v>
      </c>
      <c r="AV464">
        <f t="shared" si="101"/>
        <v>0</v>
      </c>
      <c r="AW464">
        <f t="shared" si="102"/>
        <v>0</v>
      </c>
      <c r="AX464">
        <f t="shared" si="103"/>
        <v>0</v>
      </c>
      <c r="AY464">
        <f t="shared" si="104"/>
        <v>0</v>
      </c>
    </row>
    <row r="465" spans="38:51" x14ac:dyDescent="0.25">
      <c r="AL465" s="19" t="s">
        <v>96</v>
      </c>
      <c r="AM465">
        <f t="shared" si="92"/>
        <v>0</v>
      </c>
      <c r="AN465">
        <f t="shared" si="93"/>
        <v>0</v>
      </c>
      <c r="AO465">
        <f t="shared" si="94"/>
        <v>0</v>
      </c>
      <c r="AP465">
        <f t="shared" si="95"/>
        <v>0</v>
      </c>
      <c r="AQ465">
        <f t="shared" si="96"/>
        <v>1</v>
      </c>
      <c r="AR465">
        <f t="shared" si="97"/>
        <v>0</v>
      </c>
      <c r="AS465">
        <f t="shared" si="98"/>
        <v>0</v>
      </c>
      <c r="AT465">
        <f t="shared" si="99"/>
        <v>0</v>
      </c>
      <c r="AU465">
        <f t="shared" si="100"/>
        <v>0</v>
      </c>
      <c r="AV465">
        <f t="shared" si="101"/>
        <v>0</v>
      </c>
      <c r="AW465">
        <f t="shared" si="102"/>
        <v>0</v>
      </c>
      <c r="AX465">
        <f t="shared" si="103"/>
        <v>0</v>
      </c>
      <c r="AY465">
        <f t="shared" si="104"/>
        <v>0</v>
      </c>
    </row>
    <row r="466" spans="38:51" x14ac:dyDescent="0.25">
      <c r="AL466" s="19" t="s">
        <v>97</v>
      </c>
      <c r="AM466">
        <f t="shared" si="92"/>
        <v>0</v>
      </c>
      <c r="AN466">
        <f t="shared" si="93"/>
        <v>0</v>
      </c>
      <c r="AO466">
        <f t="shared" si="94"/>
        <v>0</v>
      </c>
      <c r="AP466">
        <f t="shared" si="95"/>
        <v>0</v>
      </c>
      <c r="AQ466">
        <f t="shared" si="96"/>
        <v>1</v>
      </c>
      <c r="AR466">
        <f t="shared" si="97"/>
        <v>0</v>
      </c>
      <c r="AS466">
        <f t="shared" si="98"/>
        <v>0</v>
      </c>
      <c r="AT466">
        <f t="shared" si="99"/>
        <v>0</v>
      </c>
      <c r="AU466">
        <f t="shared" si="100"/>
        <v>2</v>
      </c>
      <c r="AV466">
        <f t="shared" si="101"/>
        <v>2</v>
      </c>
      <c r="AW466">
        <f t="shared" si="102"/>
        <v>4</v>
      </c>
      <c r="AX466">
        <f t="shared" si="103"/>
        <v>6</v>
      </c>
      <c r="AY466">
        <f t="shared" si="104"/>
        <v>3</v>
      </c>
    </row>
    <row r="467" spans="38:51" x14ac:dyDescent="0.25">
      <c r="AL467" s="19" t="s">
        <v>98</v>
      </c>
      <c r="AM467">
        <f t="shared" si="92"/>
        <v>0</v>
      </c>
      <c r="AN467">
        <f t="shared" si="93"/>
        <v>0</v>
      </c>
      <c r="AO467">
        <f t="shared" si="94"/>
        <v>0</v>
      </c>
      <c r="AP467">
        <f t="shared" si="95"/>
        <v>0</v>
      </c>
      <c r="AQ467">
        <f t="shared" si="96"/>
        <v>0</v>
      </c>
      <c r="AR467">
        <f t="shared" si="97"/>
        <v>0</v>
      </c>
      <c r="AS467">
        <f t="shared" si="98"/>
        <v>0</v>
      </c>
      <c r="AT467">
        <f t="shared" si="99"/>
        <v>0</v>
      </c>
      <c r="AU467">
        <f t="shared" si="100"/>
        <v>0</v>
      </c>
      <c r="AV467">
        <f t="shared" si="101"/>
        <v>0</v>
      </c>
      <c r="AW467">
        <f t="shared" si="102"/>
        <v>0</v>
      </c>
      <c r="AX467">
        <f t="shared" si="103"/>
        <v>0</v>
      </c>
      <c r="AY467">
        <f t="shared" si="104"/>
        <v>0</v>
      </c>
    </row>
    <row r="468" spans="38:51" x14ac:dyDescent="0.25">
      <c r="AL468" s="19" t="s">
        <v>99</v>
      </c>
      <c r="AM468">
        <f t="shared" si="92"/>
        <v>0</v>
      </c>
      <c r="AN468">
        <f t="shared" si="93"/>
        <v>0</v>
      </c>
      <c r="AO468">
        <f t="shared" si="94"/>
        <v>0</v>
      </c>
      <c r="AP468">
        <f t="shared" si="95"/>
        <v>0</v>
      </c>
      <c r="AQ468">
        <f t="shared" si="96"/>
        <v>0</v>
      </c>
      <c r="AR468">
        <f t="shared" si="97"/>
        <v>0</v>
      </c>
      <c r="AS468">
        <f t="shared" si="98"/>
        <v>0</v>
      </c>
      <c r="AT468">
        <f t="shared" si="99"/>
        <v>0</v>
      </c>
      <c r="AU468">
        <f t="shared" si="100"/>
        <v>0</v>
      </c>
      <c r="AV468">
        <f t="shared" si="101"/>
        <v>0</v>
      </c>
      <c r="AW468">
        <f t="shared" si="102"/>
        <v>0</v>
      </c>
      <c r="AX468">
        <f t="shared" si="103"/>
        <v>0</v>
      </c>
      <c r="AY468">
        <f t="shared" si="104"/>
        <v>0</v>
      </c>
    </row>
    <row r="469" spans="38:51" x14ac:dyDescent="0.25">
      <c r="AL469" s="19" t="s">
        <v>100</v>
      </c>
      <c r="AM469">
        <f t="shared" si="92"/>
        <v>0</v>
      </c>
      <c r="AN469">
        <f t="shared" si="93"/>
        <v>0</v>
      </c>
      <c r="AO469">
        <f t="shared" si="94"/>
        <v>0</v>
      </c>
      <c r="AP469">
        <f t="shared" si="95"/>
        <v>0</v>
      </c>
      <c r="AQ469">
        <f t="shared" si="96"/>
        <v>0</v>
      </c>
      <c r="AR469">
        <f t="shared" si="97"/>
        <v>0</v>
      </c>
      <c r="AS469">
        <f t="shared" si="98"/>
        <v>0</v>
      </c>
      <c r="AT469">
        <f t="shared" si="99"/>
        <v>0</v>
      </c>
      <c r="AU469">
        <f t="shared" si="100"/>
        <v>0</v>
      </c>
      <c r="AV469">
        <f t="shared" si="101"/>
        <v>0</v>
      </c>
      <c r="AW469">
        <f t="shared" si="102"/>
        <v>0</v>
      </c>
      <c r="AX469">
        <f t="shared" si="103"/>
        <v>0</v>
      </c>
      <c r="AY469">
        <f t="shared" si="104"/>
        <v>0</v>
      </c>
    </row>
    <row r="470" spans="38:51" x14ac:dyDescent="0.25">
      <c r="AL470" s="19" t="s">
        <v>101</v>
      </c>
      <c r="AM470">
        <f t="shared" si="92"/>
        <v>0</v>
      </c>
      <c r="AN470">
        <f t="shared" si="93"/>
        <v>0</v>
      </c>
      <c r="AO470">
        <f t="shared" si="94"/>
        <v>0</v>
      </c>
      <c r="AP470">
        <f t="shared" si="95"/>
        <v>0</v>
      </c>
      <c r="AQ470">
        <f t="shared" si="96"/>
        <v>0</v>
      </c>
      <c r="AR470">
        <f t="shared" si="97"/>
        <v>0</v>
      </c>
      <c r="AS470">
        <f t="shared" si="98"/>
        <v>0</v>
      </c>
      <c r="AT470">
        <f t="shared" si="99"/>
        <v>0</v>
      </c>
      <c r="AU470">
        <f t="shared" si="100"/>
        <v>0</v>
      </c>
      <c r="AV470">
        <f t="shared" si="101"/>
        <v>0</v>
      </c>
      <c r="AW470">
        <f t="shared" si="102"/>
        <v>0</v>
      </c>
      <c r="AX470">
        <f t="shared" si="103"/>
        <v>0</v>
      </c>
      <c r="AY470">
        <f t="shared" si="104"/>
        <v>0</v>
      </c>
    </row>
    <row r="471" spans="38:51" x14ac:dyDescent="0.25">
      <c r="AL471" s="19" t="s">
        <v>102</v>
      </c>
      <c r="AM471">
        <f t="shared" si="92"/>
        <v>0</v>
      </c>
      <c r="AN471">
        <f t="shared" si="93"/>
        <v>0</v>
      </c>
      <c r="AO471">
        <f t="shared" si="94"/>
        <v>0</v>
      </c>
      <c r="AP471">
        <f t="shared" si="95"/>
        <v>0</v>
      </c>
      <c r="AQ471">
        <f t="shared" si="96"/>
        <v>0</v>
      </c>
      <c r="AR471">
        <f t="shared" si="97"/>
        <v>0</v>
      </c>
      <c r="AS471">
        <f t="shared" si="98"/>
        <v>0</v>
      </c>
      <c r="AT471">
        <f t="shared" si="99"/>
        <v>0</v>
      </c>
      <c r="AU471">
        <f t="shared" si="100"/>
        <v>0</v>
      </c>
      <c r="AV471">
        <f t="shared" si="101"/>
        <v>0</v>
      </c>
      <c r="AW471">
        <f t="shared" si="102"/>
        <v>0</v>
      </c>
      <c r="AX471">
        <f t="shared" si="103"/>
        <v>0</v>
      </c>
      <c r="AY471">
        <f t="shared" si="104"/>
        <v>0</v>
      </c>
    </row>
    <row r="472" spans="38:51" x14ac:dyDescent="0.25">
      <c r="AL472" s="19" t="s">
        <v>103</v>
      </c>
      <c r="AM472">
        <f t="shared" si="92"/>
        <v>0</v>
      </c>
      <c r="AN472">
        <f t="shared" si="93"/>
        <v>0</v>
      </c>
      <c r="AO472">
        <f t="shared" si="94"/>
        <v>0</v>
      </c>
      <c r="AP472">
        <f t="shared" si="95"/>
        <v>0</v>
      </c>
      <c r="AQ472">
        <f t="shared" si="96"/>
        <v>0</v>
      </c>
      <c r="AR472">
        <f t="shared" si="97"/>
        <v>0</v>
      </c>
      <c r="AS472">
        <f t="shared" si="98"/>
        <v>0</v>
      </c>
      <c r="AT472">
        <f t="shared" si="99"/>
        <v>0</v>
      </c>
      <c r="AU472">
        <f t="shared" si="100"/>
        <v>0</v>
      </c>
      <c r="AV472">
        <f t="shared" si="101"/>
        <v>0</v>
      </c>
      <c r="AW472">
        <f t="shared" si="102"/>
        <v>0</v>
      </c>
      <c r="AX472">
        <f t="shared" si="103"/>
        <v>0</v>
      </c>
      <c r="AY472">
        <f t="shared" si="104"/>
        <v>0</v>
      </c>
    </row>
    <row r="473" spans="38:51" x14ac:dyDescent="0.25">
      <c r="AL473" s="19" t="s">
        <v>289</v>
      </c>
      <c r="AM473">
        <f t="shared" si="92"/>
        <v>0</v>
      </c>
      <c r="AN473">
        <f t="shared" si="93"/>
        <v>0</v>
      </c>
      <c r="AO473">
        <f t="shared" si="94"/>
        <v>0</v>
      </c>
      <c r="AP473">
        <f t="shared" si="95"/>
        <v>0</v>
      </c>
      <c r="AQ473">
        <f t="shared" si="96"/>
        <v>0</v>
      </c>
      <c r="AR473">
        <f t="shared" si="97"/>
        <v>0</v>
      </c>
      <c r="AS473">
        <f t="shared" si="98"/>
        <v>0</v>
      </c>
      <c r="AT473">
        <f t="shared" si="99"/>
        <v>0</v>
      </c>
      <c r="AU473">
        <f t="shared" si="100"/>
        <v>0</v>
      </c>
      <c r="AV473">
        <f t="shared" si="101"/>
        <v>0</v>
      </c>
      <c r="AW473">
        <f t="shared" si="102"/>
        <v>0</v>
      </c>
      <c r="AX473">
        <f t="shared" si="103"/>
        <v>0</v>
      </c>
      <c r="AY473">
        <f t="shared" si="104"/>
        <v>0</v>
      </c>
    </row>
    <row r="474" spans="38:51" x14ac:dyDescent="0.25">
      <c r="AL474" s="19" t="s">
        <v>104</v>
      </c>
      <c r="AM474">
        <f t="shared" si="92"/>
        <v>0</v>
      </c>
      <c r="AN474">
        <f t="shared" si="93"/>
        <v>0</v>
      </c>
      <c r="AO474">
        <f t="shared" si="94"/>
        <v>0</v>
      </c>
      <c r="AP474">
        <f t="shared" si="95"/>
        <v>0</v>
      </c>
      <c r="AQ474">
        <f t="shared" si="96"/>
        <v>0</v>
      </c>
      <c r="AR474">
        <f t="shared" si="97"/>
        <v>0</v>
      </c>
      <c r="AS474">
        <f t="shared" si="98"/>
        <v>0</v>
      </c>
      <c r="AT474">
        <f t="shared" si="99"/>
        <v>0</v>
      </c>
      <c r="AU474">
        <f t="shared" si="100"/>
        <v>0</v>
      </c>
      <c r="AV474">
        <f t="shared" si="101"/>
        <v>0</v>
      </c>
      <c r="AW474">
        <f t="shared" si="102"/>
        <v>0</v>
      </c>
      <c r="AX474">
        <f t="shared" si="103"/>
        <v>0</v>
      </c>
      <c r="AY474">
        <f t="shared" si="104"/>
        <v>0</v>
      </c>
    </row>
    <row r="475" spans="38:51" x14ac:dyDescent="0.25">
      <c r="AL475" s="19" t="s">
        <v>105</v>
      </c>
      <c r="AM475">
        <f t="shared" si="92"/>
        <v>6</v>
      </c>
      <c r="AN475">
        <f t="shared" si="93"/>
        <v>1</v>
      </c>
      <c r="AO475">
        <f t="shared" si="94"/>
        <v>1</v>
      </c>
      <c r="AP475">
        <f t="shared" si="95"/>
        <v>2</v>
      </c>
      <c r="AQ475">
        <f t="shared" si="96"/>
        <v>0</v>
      </c>
      <c r="AR475">
        <f t="shared" si="97"/>
        <v>2</v>
      </c>
      <c r="AS475">
        <f t="shared" si="98"/>
        <v>0</v>
      </c>
      <c r="AT475">
        <f t="shared" si="99"/>
        <v>0</v>
      </c>
      <c r="AU475">
        <f t="shared" si="100"/>
        <v>0</v>
      </c>
      <c r="AV475">
        <f t="shared" si="101"/>
        <v>0</v>
      </c>
      <c r="AW475">
        <f t="shared" si="102"/>
        <v>0</v>
      </c>
      <c r="AX475">
        <f t="shared" si="103"/>
        <v>0</v>
      </c>
      <c r="AY475">
        <f t="shared" si="104"/>
        <v>0</v>
      </c>
    </row>
    <row r="476" spans="38:51" x14ac:dyDescent="0.25">
      <c r="AL476" s="19" t="s">
        <v>106</v>
      </c>
      <c r="AM476">
        <f t="shared" si="92"/>
        <v>3</v>
      </c>
      <c r="AN476">
        <f t="shared" si="93"/>
        <v>1</v>
      </c>
      <c r="AO476">
        <f t="shared" si="94"/>
        <v>1</v>
      </c>
      <c r="AP476">
        <f t="shared" si="95"/>
        <v>0</v>
      </c>
      <c r="AQ476">
        <f t="shared" si="96"/>
        <v>0</v>
      </c>
      <c r="AR476">
        <f t="shared" si="97"/>
        <v>2</v>
      </c>
      <c r="AS476">
        <f t="shared" si="98"/>
        <v>1</v>
      </c>
      <c r="AT476">
        <f t="shared" si="99"/>
        <v>1</v>
      </c>
      <c r="AU476">
        <f t="shared" si="100"/>
        <v>0</v>
      </c>
      <c r="AV476">
        <f t="shared" si="101"/>
        <v>3</v>
      </c>
      <c r="AW476">
        <f t="shared" si="102"/>
        <v>5</v>
      </c>
      <c r="AX476">
        <f t="shared" si="103"/>
        <v>7</v>
      </c>
      <c r="AY476">
        <f t="shared" si="104"/>
        <v>6</v>
      </c>
    </row>
    <row r="477" spans="38:51" x14ac:dyDescent="0.25">
      <c r="AL477" s="19" t="s">
        <v>107</v>
      </c>
      <c r="AM477">
        <f t="shared" si="92"/>
        <v>1</v>
      </c>
      <c r="AN477">
        <f t="shared" si="93"/>
        <v>2</v>
      </c>
      <c r="AO477">
        <f t="shared" si="94"/>
        <v>0</v>
      </c>
      <c r="AP477">
        <f t="shared" si="95"/>
        <v>0</v>
      </c>
      <c r="AQ477">
        <f t="shared" si="96"/>
        <v>0</v>
      </c>
      <c r="AR477">
        <f t="shared" si="97"/>
        <v>0</v>
      </c>
      <c r="AS477">
        <f t="shared" si="98"/>
        <v>0</v>
      </c>
      <c r="AT477">
        <f t="shared" si="99"/>
        <v>0</v>
      </c>
      <c r="AU477">
        <f t="shared" si="100"/>
        <v>0</v>
      </c>
      <c r="AV477">
        <f t="shared" si="101"/>
        <v>0</v>
      </c>
      <c r="AW477">
        <f t="shared" si="102"/>
        <v>0</v>
      </c>
      <c r="AX477">
        <f t="shared" si="103"/>
        <v>0</v>
      </c>
      <c r="AY477">
        <f t="shared" si="104"/>
        <v>0</v>
      </c>
    </row>
    <row r="478" spans="38:51" x14ac:dyDescent="0.25">
      <c r="AL478" s="19" t="s">
        <v>108</v>
      </c>
      <c r="AM478">
        <f t="shared" si="92"/>
        <v>1</v>
      </c>
      <c r="AN478">
        <f t="shared" si="93"/>
        <v>1</v>
      </c>
      <c r="AO478">
        <f t="shared" si="94"/>
        <v>0</v>
      </c>
      <c r="AP478">
        <f t="shared" si="95"/>
        <v>0</v>
      </c>
      <c r="AQ478">
        <f t="shared" si="96"/>
        <v>0</v>
      </c>
      <c r="AR478">
        <f t="shared" si="97"/>
        <v>1</v>
      </c>
      <c r="AS478">
        <f t="shared" si="98"/>
        <v>1</v>
      </c>
      <c r="AT478">
        <f t="shared" si="99"/>
        <v>1</v>
      </c>
      <c r="AU478">
        <f t="shared" si="100"/>
        <v>0</v>
      </c>
      <c r="AV478">
        <f t="shared" si="101"/>
        <v>0</v>
      </c>
      <c r="AW478">
        <f t="shared" si="102"/>
        <v>0</v>
      </c>
      <c r="AX478">
        <f t="shared" si="103"/>
        <v>0</v>
      </c>
      <c r="AY478">
        <f t="shared" si="104"/>
        <v>0</v>
      </c>
    </row>
    <row r="479" spans="38:51" x14ac:dyDescent="0.25">
      <c r="AL479" s="19" t="s">
        <v>109</v>
      </c>
      <c r="AM479">
        <f t="shared" si="92"/>
        <v>0</v>
      </c>
      <c r="AN479">
        <f t="shared" si="93"/>
        <v>0</v>
      </c>
      <c r="AO479">
        <f t="shared" si="94"/>
        <v>1</v>
      </c>
      <c r="AP479">
        <f t="shared" si="95"/>
        <v>0</v>
      </c>
      <c r="AQ479">
        <f t="shared" si="96"/>
        <v>1</v>
      </c>
      <c r="AR479">
        <f t="shared" si="97"/>
        <v>1</v>
      </c>
      <c r="AS479">
        <f t="shared" si="98"/>
        <v>2</v>
      </c>
      <c r="AT479">
        <f t="shared" si="99"/>
        <v>0</v>
      </c>
      <c r="AU479">
        <f t="shared" si="100"/>
        <v>1</v>
      </c>
      <c r="AV479">
        <f t="shared" si="101"/>
        <v>0</v>
      </c>
      <c r="AW479">
        <f t="shared" si="102"/>
        <v>0</v>
      </c>
      <c r="AX479">
        <f t="shared" si="103"/>
        <v>0</v>
      </c>
      <c r="AY479">
        <f t="shared" si="104"/>
        <v>0</v>
      </c>
    </row>
    <row r="480" spans="38:51" x14ac:dyDescent="0.25">
      <c r="AL480" s="19" t="s">
        <v>110</v>
      </c>
      <c r="AM480">
        <f t="shared" si="92"/>
        <v>3</v>
      </c>
      <c r="AN480">
        <f t="shared" si="93"/>
        <v>6</v>
      </c>
      <c r="AO480">
        <f t="shared" si="94"/>
        <v>6</v>
      </c>
      <c r="AP480">
        <f t="shared" si="95"/>
        <v>1</v>
      </c>
      <c r="AQ480">
        <f t="shared" si="96"/>
        <v>4</v>
      </c>
      <c r="AR480">
        <f t="shared" si="97"/>
        <v>5</v>
      </c>
      <c r="AS480">
        <f t="shared" si="98"/>
        <v>3</v>
      </c>
      <c r="AT480">
        <f t="shared" si="99"/>
        <v>3</v>
      </c>
      <c r="AU480">
        <f t="shared" si="100"/>
        <v>5</v>
      </c>
      <c r="AV480">
        <f t="shared" si="101"/>
        <v>1</v>
      </c>
      <c r="AW480">
        <f t="shared" si="102"/>
        <v>1</v>
      </c>
      <c r="AX480">
        <f t="shared" si="103"/>
        <v>2</v>
      </c>
      <c r="AY480">
        <f t="shared" si="104"/>
        <v>0</v>
      </c>
    </row>
    <row r="481" spans="38:51" x14ac:dyDescent="0.25">
      <c r="AL481" s="19" t="s">
        <v>111</v>
      </c>
      <c r="AM481">
        <f t="shared" si="92"/>
        <v>0</v>
      </c>
      <c r="AN481">
        <f t="shared" si="93"/>
        <v>0</v>
      </c>
      <c r="AO481">
        <f t="shared" si="94"/>
        <v>0</v>
      </c>
      <c r="AP481">
        <f t="shared" si="95"/>
        <v>0</v>
      </c>
      <c r="AQ481">
        <f t="shared" si="96"/>
        <v>0</v>
      </c>
      <c r="AR481">
        <f t="shared" si="97"/>
        <v>0</v>
      </c>
      <c r="AS481">
        <f t="shared" si="98"/>
        <v>0</v>
      </c>
      <c r="AT481">
        <f t="shared" si="99"/>
        <v>0</v>
      </c>
      <c r="AU481">
        <f t="shared" si="100"/>
        <v>0</v>
      </c>
      <c r="AV481">
        <f t="shared" si="101"/>
        <v>0</v>
      </c>
      <c r="AW481">
        <f t="shared" si="102"/>
        <v>0</v>
      </c>
      <c r="AX481">
        <f t="shared" si="103"/>
        <v>0</v>
      </c>
      <c r="AY481">
        <f t="shared" si="104"/>
        <v>0</v>
      </c>
    </row>
    <row r="482" spans="38:51" x14ac:dyDescent="0.25">
      <c r="AL482" s="19" t="s">
        <v>112</v>
      </c>
      <c r="AM482">
        <f t="shared" si="92"/>
        <v>0</v>
      </c>
      <c r="AN482">
        <f t="shared" si="93"/>
        <v>0</v>
      </c>
      <c r="AO482">
        <f t="shared" si="94"/>
        <v>0</v>
      </c>
      <c r="AP482">
        <f t="shared" si="95"/>
        <v>0</v>
      </c>
      <c r="AQ482">
        <f t="shared" si="96"/>
        <v>0</v>
      </c>
      <c r="AR482">
        <f t="shared" si="97"/>
        <v>0</v>
      </c>
      <c r="AS482">
        <f t="shared" si="98"/>
        <v>0</v>
      </c>
      <c r="AT482">
        <f t="shared" si="99"/>
        <v>0</v>
      </c>
      <c r="AU482">
        <f t="shared" si="100"/>
        <v>0</v>
      </c>
      <c r="AV482">
        <f t="shared" si="101"/>
        <v>0</v>
      </c>
      <c r="AW482">
        <f t="shared" si="102"/>
        <v>0</v>
      </c>
      <c r="AX482">
        <f t="shared" si="103"/>
        <v>0</v>
      </c>
      <c r="AY482">
        <f t="shared" si="104"/>
        <v>0</v>
      </c>
    </row>
    <row r="483" spans="38:51" x14ac:dyDescent="0.25">
      <c r="AL483" s="19" t="s">
        <v>290</v>
      </c>
      <c r="AM483">
        <f t="shared" si="92"/>
        <v>0</v>
      </c>
      <c r="AN483">
        <f t="shared" si="93"/>
        <v>0</v>
      </c>
      <c r="AO483">
        <f t="shared" si="94"/>
        <v>0</v>
      </c>
      <c r="AP483">
        <f t="shared" si="95"/>
        <v>0</v>
      </c>
      <c r="AQ483">
        <f t="shared" si="96"/>
        <v>0</v>
      </c>
      <c r="AR483">
        <f t="shared" si="97"/>
        <v>0</v>
      </c>
      <c r="AS483">
        <f t="shared" si="98"/>
        <v>0</v>
      </c>
      <c r="AT483">
        <f t="shared" si="99"/>
        <v>0</v>
      </c>
      <c r="AU483">
        <f t="shared" si="100"/>
        <v>0</v>
      </c>
      <c r="AV483">
        <f t="shared" si="101"/>
        <v>0</v>
      </c>
      <c r="AW483">
        <f t="shared" si="102"/>
        <v>0</v>
      </c>
      <c r="AX483">
        <f t="shared" si="103"/>
        <v>0</v>
      </c>
      <c r="AY483">
        <f t="shared" si="104"/>
        <v>0</v>
      </c>
    </row>
    <row r="484" spans="38:51" x14ac:dyDescent="0.25">
      <c r="AL484" s="19" t="s">
        <v>235</v>
      </c>
      <c r="AM484">
        <f t="shared" si="92"/>
        <v>6</v>
      </c>
      <c r="AN484">
        <f t="shared" si="93"/>
        <v>1</v>
      </c>
      <c r="AO484">
        <f t="shared" si="94"/>
        <v>0</v>
      </c>
      <c r="AP484">
        <f t="shared" si="95"/>
        <v>3</v>
      </c>
      <c r="AQ484">
        <f t="shared" si="96"/>
        <v>0</v>
      </c>
      <c r="AR484">
        <f t="shared" si="97"/>
        <v>0</v>
      </c>
      <c r="AS484">
        <f t="shared" si="98"/>
        <v>0</v>
      </c>
      <c r="AT484">
        <f t="shared" si="99"/>
        <v>0</v>
      </c>
      <c r="AU484">
        <f t="shared" si="100"/>
        <v>2</v>
      </c>
      <c r="AV484">
        <f t="shared" si="101"/>
        <v>0</v>
      </c>
      <c r="AW484">
        <f t="shared" si="102"/>
        <v>0</v>
      </c>
      <c r="AX484">
        <f t="shared" si="103"/>
        <v>1</v>
      </c>
      <c r="AY484">
        <f t="shared" si="104"/>
        <v>0</v>
      </c>
    </row>
    <row r="485" spans="38:51" x14ac:dyDescent="0.25">
      <c r="AL485" s="19" t="s">
        <v>113</v>
      </c>
      <c r="AM485">
        <f t="shared" si="92"/>
        <v>0</v>
      </c>
      <c r="AN485">
        <f t="shared" si="93"/>
        <v>0</v>
      </c>
      <c r="AO485">
        <f t="shared" si="94"/>
        <v>0</v>
      </c>
      <c r="AP485">
        <f t="shared" si="95"/>
        <v>0</v>
      </c>
      <c r="AQ485">
        <f t="shared" si="96"/>
        <v>0</v>
      </c>
      <c r="AR485">
        <f t="shared" si="97"/>
        <v>0</v>
      </c>
      <c r="AS485">
        <f t="shared" si="98"/>
        <v>0</v>
      </c>
      <c r="AT485">
        <f t="shared" si="99"/>
        <v>0</v>
      </c>
      <c r="AU485">
        <f t="shared" si="100"/>
        <v>0</v>
      </c>
      <c r="AV485">
        <f t="shared" si="101"/>
        <v>0</v>
      </c>
      <c r="AW485">
        <f t="shared" si="102"/>
        <v>0</v>
      </c>
      <c r="AX485">
        <f t="shared" si="103"/>
        <v>0</v>
      </c>
      <c r="AY485">
        <f t="shared" si="104"/>
        <v>0</v>
      </c>
    </row>
    <row r="486" spans="38:51" x14ac:dyDescent="0.25">
      <c r="AL486" s="19" t="s">
        <v>114</v>
      </c>
      <c r="AM486">
        <f t="shared" si="92"/>
        <v>0</v>
      </c>
      <c r="AN486">
        <f t="shared" si="93"/>
        <v>0</v>
      </c>
      <c r="AO486">
        <f t="shared" si="94"/>
        <v>0</v>
      </c>
      <c r="AP486">
        <f t="shared" si="95"/>
        <v>0</v>
      </c>
      <c r="AQ486">
        <f t="shared" si="96"/>
        <v>0</v>
      </c>
      <c r="AR486">
        <f t="shared" si="97"/>
        <v>0</v>
      </c>
      <c r="AS486">
        <f t="shared" si="98"/>
        <v>0</v>
      </c>
      <c r="AT486">
        <f t="shared" si="99"/>
        <v>0</v>
      </c>
      <c r="AU486">
        <f t="shared" si="100"/>
        <v>0</v>
      </c>
      <c r="AV486">
        <f t="shared" si="101"/>
        <v>0</v>
      </c>
      <c r="AW486">
        <f t="shared" si="102"/>
        <v>0</v>
      </c>
      <c r="AX486">
        <f t="shared" si="103"/>
        <v>0</v>
      </c>
      <c r="AY486">
        <f t="shared" si="104"/>
        <v>0</v>
      </c>
    </row>
    <row r="487" spans="38:51" x14ac:dyDescent="0.25">
      <c r="AL487" s="19" t="s">
        <v>115</v>
      </c>
      <c r="AM487">
        <f t="shared" si="92"/>
        <v>0</v>
      </c>
      <c r="AN487">
        <f t="shared" si="93"/>
        <v>0</v>
      </c>
      <c r="AO487">
        <f t="shared" si="94"/>
        <v>0</v>
      </c>
      <c r="AP487">
        <f t="shared" si="95"/>
        <v>0</v>
      </c>
      <c r="AQ487">
        <f t="shared" si="96"/>
        <v>0</v>
      </c>
      <c r="AR487">
        <f t="shared" si="97"/>
        <v>0</v>
      </c>
      <c r="AS487">
        <f t="shared" si="98"/>
        <v>0</v>
      </c>
      <c r="AT487">
        <f t="shared" si="99"/>
        <v>0</v>
      </c>
      <c r="AU487">
        <f t="shared" si="100"/>
        <v>0</v>
      </c>
      <c r="AV487">
        <f t="shared" si="101"/>
        <v>0</v>
      </c>
      <c r="AW487">
        <f t="shared" si="102"/>
        <v>0</v>
      </c>
      <c r="AX487">
        <f t="shared" si="103"/>
        <v>0</v>
      </c>
      <c r="AY487">
        <f t="shared" si="104"/>
        <v>0</v>
      </c>
    </row>
    <row r="488" spans="38:51" x14ac:dyDescent="0.25">
      <c r="AL488" s="19" t="s">
        <v>116</v>
      </c>
      <c r="AM488">
        <f t="shared" si="92"/>
        <v>0</v>
      </c>
      <c r="AN488">
        <f t="shared" si="93"/>
        <v>0</v>
      </c>
      <c r="AO488">
        <f t="shared" si="94"/>
        <v>0</v>
      </c>
      <c r="AP488">
        <f t="shared" si="95"/>
        <v>0</v>
      </c>
      <c r="AQ488">
        <f t="shared" si="96"/>
        <v>0</v>
      </c>
      <c r="AR488">
        <f t="shared" si="97"/>
        <v>0</v>
      </c>
      <c r="AS488">
        <f t="shared" si="98"/>
        <v>0</v>
      </c>
      <c r="AT488">
        <f t="shared" si="99"/>
        <v>0</v>
      </c>
      <c r="AU488">
        <f t="shared" si="100"/>
        <v>0</v>
      </c>
      <c r="AV488">
        <f t="shared" si="101"/>
        <v>0</v>
      </c>
      <c r="AW488">
        <f t="shared" si="102"/>
        <v>0</v>
      </c>
      <c r="AX488">
        <f t="shared" si="103"/>
        <v>0</v>
      </c>
      <c r="AY488">
        <f t="shared" si="104"/>
        <v>0</v>
      </c>
    </row>
    <row r="489" spans="38:51" x14ac:dyDescent="0.25">
      <c r="AL489" s="19" t="s">
        <v>117</v>
      </c>
      <c r="AM489">
        <f t="shared" si="92"/>
        <v>0</v>
      </c>
      <c r="AN489">
        <f t="shared" si="93"/>
        <v>0</v>
      </c>
      <c r="AO489">
        <f t="shared" si="94"/>
        <v>1</v>
      </c>
      <c r="AP489">
        <f t="shared" si="95"/>
        <v>0</v>
      </c>
      <c r="AQ489">
        <f t="shared" si="96"/>
        <v>0</v>
      </c>
      <c r="AR489">
        <f t="shared" si="97"/>
        <v>0</v>
      </c>
      <c r="AS489">
        <f t="shared" si="98"/>
        <v>2</v>
      </c>
      <c r="AT489">
        <f t="shared" si="99"/>
        <v>0</v>
      </c>
      <c r="AU489">
        <f t="shared" si="100"/>
        <v>0</v>
      </c>
      <c r="AV489">
        <f t="shared" si="101"/>
        <v>0</v>
      </c>
      <c r="AW489">
        <f t="shared" si="102"/>
        <v>0</v>
      </c>
      <c r="AX489">
        <f t="shared" si="103"/>
        <v>0</v>
      </c>
      <c r="AY489">
        <f t="shared" si="104"/>
        <v>0</v>
      </c>
    </row>
    <row r="490" spans="38:51" x14ac:dyDescent="0.25">
      <c r="AL490" s="19" t="s">
        <v>118</v>
      </c>
      <c r="AM490">
        <f t="shared" si="92"/>
        <v>0</v>
      </c>
      <c r="AN490">
        <f t="shared" si="93"/>
        <v>0</v>
      </c>
      <c r="AO490">
        <f t="shared" si="94"/>
        <v>0</v>
      </c>
      <c r="AP490">
        <f t="shared" si="95"/>
        <v>0</v>
      </c>
      <c r="AQ490">
        <f t="shared" si="96"/>
        <v>0</v>
      </c>
      <c r="AR490">
        <f t="shared" si="97"/>
        <v>0</v>
      </c>
      <c r="AS490">
        <f t="shared" si="98"/>
        <v>0</v>
      </c>
      <c r="AT490">
        <f t="shared" si="99"/>
        <v>0</v>
      </c>
      <c r="AU490">
        <f t="shared" si="100"/>
        <v>0</v>
      </c>
      <c r="AV490">
        <f t="shared" si="101"/>
        <v>0</v>
      </c>
      <c r="AW490">
        <f t="shared" si="102"/>
        <v>0</v>
      </c>
      <c r="AX490">
        <f t="shared" si="103"/>
        <v>0</v>
      </c>
      <c r="AY490">
        <f t="shared" si="104"/>
        <v>0</v>
      </c>
    </row>
    <row r="491" spans="38:51" x14ac:dyDescent="0.25">
      <c r="AL491" s="19" t="s">
        <v>119</v>
      </c>
      <c r="AM491">
        <f t="shared" si="92"/>
        <v>0</v>
      </c>
      <c r="AN491">
        <f t="shared" si="93"/>
        <v>0</v>
      </c>
      <c r="AO491">
        <f t="shared" si="94"/>
        <v>0</v>
      </c>
      <c r="AP491">
        <f t="shared" si="95"/>
        <v>0</v>
      </c>
      <c r="AQ491">
        <f t="shared" si="96"/>
        <v>0</v>
      </c>
      <c r="AR491">
        <f t="shared" si="97"/>
        <v>0</v>
      </c>
      <c r="AS491">
        <f t="shared" si="98"/>
        <v>0</v>
      </c>
      <c r="AT491">
        <f t="shared" si="99"/>
        <v>0</v>
      </c>
      <c r="AU491">
        <f t="shared" si="100"/>
        <v>0</v>
      </c>
      <c r="AV491">
        <f t="shared" si="101"/>
        <v>0</v>
      </c>
      <c r="AW491">
        <f t="shared" si="102"/>
        <v>0</v>
      </c>
      <c r="AX491">
        <f t="shared" si="103"/>
        <v>0</v>
      </c>
      <c r="AY491">
        <f t="shared" si="104"/>
        <v>0</v>
      </c>
    </row>
    <row r="492" spans="38:51" x14ac:dyDescent="0.25">
      <c r="AL492" s="19" t="s">
        <v>120</v>
      </c>
      <c r="AM492">
        <f t="shared" si="92"/>
        <v>0</v>
      </c>
      <c r="AN492">
        <f t="shared" si="93"/>
        <v>0</v>
      </c>
      <c r="AO492">
        <f t="shared" si="94"/>
        <v>1</v>
      </c>
      <c r="AP492">
        <f t="shared" si="95"/>
        <v>0</v>
      </c>
      <c r="AQ492">
        <f t="shared" si="96"/>
        <v>0</v>
      </c>
      <c r="AR492">
        <f t="shared" si="97"/>
        <v>0</v>
      </c>
      <c r="AS492">
        <f t="shared" si="98"/>
        <v>0</v>
      </c>
      <c r="AT492">
        <f t="shared" si="99"/>
        <v>0</v>
      </c>
      <c r="AU492">
        <f t="shared" si="100"/>
        <v>1</v>
      </c>
      <c r="AV492">
        <f t="shared" si="101"/>
        <v>0</v>
      </c>
      <c r="AW492">
        <f t="shared" si="102"/>
        <v>0</v>
      </c>
      <c r="AX492">
        <f t="shared" si="103"/>
        <v>0</v>
      </c>
      <c r="AY492">
        <f t="shared" si="104"/>
        <v>0</v>
      </c>
    </row>
    <row r="493" spans="38:51" x14ac:dyDescent="0.25">
      <c r="AL493" s="19" t="s">
        <v>121</v>
      </c>
      <c r="AM493">
        <f t="shared" si="92"/>
        <v>0</v>
      </c>
      <c r="AN493">
        <f t="shared" si="93"/>
        <v>0</v>
      </c>
      <c r="AO493">
        <f t="shared" si="94"/>
        <v>0</v>
      </c>
      <c r="AP493">
        <f t="shared" si="95"/>
        <v>0</v>
      </c>
      <c r="AQ493">
        <f t="shared" si="96"/>
        <v>0</v>
      </c>
      <c r="AR493">
        <f t="shared" si="97"/>
        <v>0</v>
      </c>
      <c r="AS493">
        <f t="shared" si="98"/>
        <v>0</v>
      </c>
      <c r="AT493">
        <f t="shared" si="99"/>
        <v>0</v>
      </c>
      <c r="AU493">
        <f t="shared" si="100"/>
        <v>0</v>
      </c>
      <c r="AV493">
        <f t="shared" si="101"/>
        <v>0</v>
      </c>
      <c r="AW493">
        <f t="shared" si="102"/>
        <v>0</v>
      </c>
      <c r="AX493">
        <f t="shared" si="103"/>
        <v>0</v>
      </c>
      <c r="AY493">
        <f t="shared" si="104"/>
        <v>0</v>
      </c>
    </row>
    <row r="494" spans="38:51" x14ac:dyDescent="0.25">
      <c r="AL494" s="19" t="s">
        <v>122</v>
      </c>
      <c r="AM494">
        <f t="shared" si="92"/>
        <v>0</v>
      </c>
      <c r="AN494">
        <f t="shared" si="93"/>
        <v>0</v>
      </c>
      <c r="AO494">
        <f t="shared" si="94"/>
        <v>0</v>
      </c>
      <c r="AP494">
        <f t="shared" si="95"/>
        <v>0</v>
      </c>
      <c r="AQ494">
        <f t="shared" si="96"/>
        <v>1</v>
      </c>
      <c r="AR494">
        <f t="shared" si="97"/>
        <v>0</v>
      </c>
      <c r="AS494">
        <f t="shared" si="98"/>
        <v>0</v>
      </c>
      <c r="AT494">
        <f t="shared" si="99"/>
        <v>0</v>
      </c>
      <c r="AU494">
        <f t="shared" si="100"/>
        <v>0</v>
      </c>
      <c r="AV494">
        <f t="shared" si="101"/>
        <v>0</v>
      </c>
      <c r="AW494">
        <f t="shared" si="102"/>
        <v>0</v>
      </c>
      <c r="AX494">
        <f t="shared" si="103"/>
        <v>0</v>
      </c>
      <c r="AY494">
        <f t="shared" si="104"/>
        <v>0</v>
      </c>
    </row>
    <row r="495" spans="38:51" x14ac:dyDescent="0.25">
      <c r="AL495" s="19" t="s">
        <v>327</v>
      </c>
      <c r="AM495">
        <f t="shared" si="92"/>
        <v>0</v>
      </c>
      <c r="AN495">
        <f t="shared" si="93"/>
        <v>0</v>
      </c>
      <c r="AO495">
        <f t="shared" si="94"/>
        <v>0</v>
      </c>
      <c r="AP495">
        <f t="shared" si="95"/>
        <v>0</v>
      </c>
      <c r="AQ495">
        <f t="shared" si="96"/>
        <v>0</v>
      </c>
      <c r="AR495">
        <f t="shared" si="97"/>
        <v>0</v>
      </c>
      <c r="AS495">
        <f t="shared" si="98"/>
        <v>0</v>
      </c>
      <c r="AT495">
        <f t="shared" si="99"/>
        <v>0</v>
      </c>
      <c r="AU495">
        <f t="shared" si="100"/>
        <v>0</v>
      </c>
      <c r="AV495">
        <f t="shared" si="101"/>
        <v>0</v>
      </c>
      <c r="AW495">
        <f t="shared" si="102"/>
        <v>0</v>
      </c>
      <c r="AX495">
        <f t="shared" si="103"/>
        <v>0</v>
      </c>
      <c r="AY495">
        <f t="shared" si="104"/>
        <v>0</v>
      </c>
    </row>
    <row r="496" spans="38:51" x14ac:dyDescent="0.25">
      <c r="AL496" s="19" t="s">
        <v>123</v>
      </c>
      <c r="AM496">
        <f t="shared" si="92"/>
        <v>1</v>
      </c>
      <c r="AN496">
        <f t="shared" si="93"/>
        <v>1</v>
      </c>
      <c r="AO496">
        <f t="shared" si="94"/>
        <v>1</v>
      </c>
      <c r="AP496">
        <f t="shared" si="95"/>
        <v>0</v>
      </c>
      <c r="AQ496">
        <f t="shared" si="96"/>
        <v>1</v>
      </c>
      <c r="AR496">
        <f t="shared" si="97"/>
        <v>0</v>
      </c>
      <c r="AS496">
        <f t="shared" si="98"/>
        <v>0</v>
      </c>
      <c r="AT496">
        <f t="shared" si="99"/>
        <v>0</v>
      </c>
      <c r="AU496">
        <f t="shared" si="100"/>
        <v>0</v>
      </c>
      <c r="AV496">
        <f t="shared" si="101"/>
        <v>0</v>
      </c>
      <c r="AW496">
        <f t="shared" si="102"/>
        <v>0</v>
      </c>
      <c r="AX496">
        <f t="shared" si="103"/>
        <v>0</v>
      </c>
      <c r="AY496">
        <f t="shared" si="104"/>
        <v>0</v>
      </c>
    </row>
    <row r="497" spans="38:51" x14ac:dyDescent="0.25">
      <c r="AL497" s="19" t="s">
        <v>124</v>
      </c>
      <c r="AM497">
        <f t="shared" si="92"/>
        <v>0</v>
      </c>
      <c r="AN497">
        <f t="shared" si="93"/>
        <v>0</v>
      </c>
      <c r="AO497">
        <f t="shared" si="94"/>
        <v>0</v>
      </c>
      <c r="AP497">
        <f t="shared" si="95"/>
        <v>0</v>
      </c>
      <c r="AQ497">
        <f t="shared" si="96"/>
        <v>0</v>
      </c>
      <c r="AR497">
        <f t="shared" si="97"/>
        <v>0</v>
      </c>
      <c r="AS497">
        <f t="shared" si="98"/>
        <v>0</v>
      </c>
      <c r="AT497">
        <f t="shared" si="99"/>
        <v>0</v>
      </c>
      <c r="AU497">
        <f t="shared" si="100"/>
        <v>0</v>
      </c>
      <c r="AV497">
        <f t="shared" si="101"/>
        <v>0</v>
      </c>
      <c r="AW497">
        <f t="shared" si="102"/>
        <v>0</v>
      </c>
      <c r="AX497">
        <f t="shared" si="103"/>
        <v>0</v>
      </c>
      <c r="AY497">
        <f t="shared" si="104"/>
        <v>0</v>
      </c>
    </row>
    <row r="498" spans="38:51" x14ac:dyDescent="0.25">
      <c r="AL498" s="19" t="s">
        <v>125</v>
      </c>
      <c r="AM498">
        <f t="shared" ref="AM498:AM561" si="105">COUNTIF($AM73:$AS73,"&gt;=100%")</f>
        <v>0</v>
      </c>
      <c r="AN498">
        <f t="shared" ref="AN498:AN561" si="106">COUNTIF($AU73:$BA73,"&gt;=100%")</f>
        <v>0</v>
      </c>
      <c r="AO498">
        <f t="shared" ref="AO498:AO561" si="107">COUNTIF($BC73:$BI73,"&gt;=100%")</f>
        <v>0</v>
      </c>
      <c r="AP498">
        <f t="shared" ref="AP498:AP561" si="108">COUNTIF($BK73:$BQ73,"&gt;=100%")</f>
        <v>0</v>
      </c>
      <c r="AQ498">
        <f t="shared" ref="AQ498:AQ561" si="109">COUNTIF($BS73:$BY73,"&gt;=100%")</f>
        <v>0</v>
      </c>
      <c r="AR498">
        <f t="shared" ref="AR498:AR561" si="110">COUNTIF($CA73:$CG73,"&gt;=100%")</f>
        <v>0</v>
      </c>
      <c r="AS498">
        <f t="shared" ref="AS498:AS561" si="111">COUNTIF($CI73:$CO73,"&gt;=100%")</f>
        <v>0</v>
      </c>
      <c r="AT498">
        <f t="shared" ref="AT498:AT561" si="112">COUNTIF($CQ73:$CW73,"&gt;=100%")</f>
        <v>0</v>
      </c>
      <c r="AU498">
        <f t="shared" ref="AU498:AU561" si="113">COUNTIF($CY73:$DE73,"&gt;=100%")</f>
        <v>0</v>
      </c>
      <c r="AV498">
        <f t="shared" ref="AV498:AV561" si="114">COUNTIF($DG73:$DM73,"&gt;=100%")</f>
        <v>0</v>
      </c>
      <c r="AW498">
        <f t="shared" ref="AW498:AW561" si="115">COUNTIF($DO73:$DU73,"&gt;=100%")</f>
        <v>0</v>
      </c>
      <c r="AX498">
        <f t="shared" ref="AX498:AX561" si="116">COUNTIF($DW73:$EC73,"&gt;=100%")</f>
        <v>0</v>
      </c>
      <c r="AY498">
        <f t="shared" ref="AY498:AY561" si="117">COUNTIF($EE73:$EK73,"&gt;=100%")</f>
        <v>0</v>
      </c>
    </row>
    <row r="499" spans="38:51" x14ac:dyDescent="0.25">
      <c r="AL499" s="19" t="s">
        <v>126</v>
      </c>
      <c r="AM499">
        <f t="shared" si="105"/>
        <v>1</v>
      </c>
      <c r="AN499">
        <f t="shared" si="106"/>
        <v>3</v>
      </c>
      <c r="AO499">
        <f t="shared" si="107"/>
        <v>0</v>
      </c>
      <c r="AP499">
        <f t="shared" si="108"/>
        <v>0</v>
      </c>
      <c r="AQ499">
        <f t="shared" si="109"/>
        <v>1</v>
      </c>
      <c r="AR499">
        <f t="shared" si="110"/>
        <v>3</v>
      </c>
      <c r="AS499">
        <f t="shared" si="111"/>
        <v>5</v>
      </c>
      <c r="AT499">
        <f t="shared" si="112"/>
        <v>4</v>
      </c>
      <c r="AU499">
        <f t="shared" si="113"/>
        <v>2</v>
      </c>
      <c r="AV499">
        <f t="shared" si="114"/>
        <v>3</v>
      </c>
      <c r="AW499">
        <f t="shared" si="115"/>
        <v>2</v>
      </c>
      <c r="AX499">
        <f t="shared" si="116"/>
        <v>3</v>
      </c>
      <c r="AY499">
        <f t="shared" si="117"/>
        <v>2</v>
      </c>
    </row>
    <row r="500" spans="38:51" x14ac:dyDescent="0.25">
      <c r="AL500" s="19" t="s">
        <v>127</v>
      </c>
      <c r="AM500">
        <f t="shared" si="105"/>
        <v>0</v>
      </c>
      <c r="AN500">
        <f t="shared" si="106"/>
        <v>0</v>
      </c>
      <c r="AO500">
        <f t="shared" si="107"/>
        <v>0</v>
      </c>
      <c r="AP500">
        <f t="shared" si="108"/>
        <v>0</v>
      </c>
      <c r="AQ500">
        <f t="shared" si="109"/>
        <v>0</v>
      </c>
      <c r="AR500">
        <f t="shared" si="110"/>
        <v>0</v>
      </c>
      <c r="AS500">
        <f t="shared" si="111"/>
        <v>0</v>
      </c>
      <c r="AT500">
        <f t="shared" si="112"/>
        <v>0</v>
      </c>
      <c r="AU500">
        <f t="shared" si="113"/>
        <v>0</v>
      </c>
      <c r="AV500">
        <f t="shared" si="114"/>
        <v>0</v>
      </c>
      <c r="AW500">
        <f t="shared" si="115"/>
        <v>0</v>
      </c>
      <c r="AX500">
        <f t="shared" si="116"/>
        <v>0</v>
      </c>
      <c r="AY500">
        <f t="shared" si="117"/>
        <v>0</v>
      </c>
    </row>
    <row r="501" spans="38:51" x14ac:dyDescent="0.25">
      <c r="AL501" s="19" t="s">
        <v>128</v>
      </c>
      <c r="AM501">
        <f t="shared" si="105"/>
        <v>0</v>
      </c>
      <c r="AN501">
        <f t="shared" si="106"/>
        <v>0</v>
      </c>
      <c r="AO501">
        <f t="shared" si="107"/>
        <v>0</v>
      </c>
      <c r="AP501">
        <f t="shared" si="108"/>
        <v>0</v>
      </c>
      <c r="AQ501">
        <f t="shared" si="109"/>
        <v>0</v>
      </c>
      <c r="AR501">
        <f t="shared" si="110"/>
        <v>0</v>
      </c>
      <c r="AS501">
        <f t="shared" si="111"/>
        <v>0</v>
      </c>
      <c r="AT501">
        <f t="shared" si="112"/>
        <v>0</v>
      </c>
      <c r="AU501">
        <f t="shared" si="113"/>
        <v>0</v>
      </c>
      <c r="AV501">
        <f t="shared" si="114"/>
        <v>0</v>
      </c>
      <c r="AW501">
        <f t="shared" si="115"/>
        <v>0</v>
      </c>
      <c r="AX501">
        <f t="shared" si="116"/>
        <v>0</v>
      </c>
      <c r="AY501">
        <f t="shared" si="117"/>
        <v>0</v>
      </c>
    </row>
    <row r="502" spans="38:51" x14ac:dyDescent="0.25">
      <c r="AL502" s="19" t="s">
        <v>129</v>
      </c>
      <c r="AM502">
        <f t="shared" si="105"/>
        <v>0</v>
      </c>
      <c r="AN502">
        <f t="shared" si="106"/>
        <v>0</v>
      </c>
      <c r="AO502">
        <f t="shared" si="107"/>
        <v>0</v>
      </c>
      <c r="AP502">
        <f t="shared" si="108"/>
        <v>0</v>
      </c>
      <c r="AQ502">
        <f t="shared" si="109"/>
        <v>0</v>
      </c>
      <c r="AR502">
        <f t="shared" si="110"/>
        <v>0</v>
      </c>
      <c r="AS502">
        <f t="shared" si="111"/>
        <v>0</v>
      </c>
      <c r="AT502">
        <f t="shared" si="112"/>
        <v>0</v>
      </c>
      <c r="AU502">
        <f t="shared" si="113"/>
        <v>0</v>
      </c>
      <c r="AV502">
        <f t="shared" si="114"/>
        <v>0</v>
      </c>
      <c r="AW502">
        <f t="shared" si="115"/>
        <v>0</v>
      </c>
      <c r="AX502">
        <f t="shared" si="116"/>
        <v>0</v>
      </c>
      <c r="AY502">
        <f t="shared" si="117"/>
        <v>0</v>
      </c>
    </row>
    <row r="503" spans="38:51" x14ac:dyDescent="0.25">
      <c r="AL503" s="19" t="s">
        <v>130</v>
      </c>
      <c r="AM503">
        <f t="shared" si="105"/>
        <v>0</v>
      </c>
      <c r="AN503">
        <f t="shared" si="106"/>
        <v>0</v>
      </c>
      <c r="AO503">
        <f t="shared" si="107"/>
        <v>0</v>
      </c>
      <c r="AP503">
        <f t="shared" si="108"/>
        <v>0</v>
      </c>
      <c r="AQ503">
        <f t="shared" si="109"/>
        <v>0</v>
      </c>
      <c r="AR503">
        <f t="shared" si="110"/>
        <v>0</v>
      </c>
      <c r="AS503">
        <f t="shared" si="111"/>
        <v>0</v>
      </c>
      <c r="AT503">
        <f t="shared" si="112"/>
        <v>0</v>
      </c>
      <c r="AU503">
        <f t="shared" si="113"/>
        <v>0</v>
      </c>
      <c r="AV503">
        <f t="shared" si="114"/>
        <v>0</v>
      </c>
      <c r="AW503">
        <f t="shared" si="115"/>
        <v>0</v>
      </c>
      <c r="AX503">
        <f t="shared" si="116"/>
        <v>0</v>
      </c>
      <c r="AY503">
        <f t="shared" si="117"/>
        <v>0</v>
      </c>
    </row>
    <row r="504" spans="38:51" x14ac:dyDescent="0.25">
      <c r="AL504" s="19" t="s">
        <v>131</v>
      </c>
      <c r="AM504">
        <f t="shared" si="105"/>
        <v>0</v>
      </c>
      <c r="AN504">
        <f t="shared" si="106"/>
        <v>0</v>
      </c>
      <c r="AO504">
        <f t="shared" si="107"/>
        <v>0</v>
      </c>
      <c r="AP504">
        <f t="shared" si="108"/>
        <v>0</v>
      </c>
      <c r="AQ504">
        <f t="shared" si="109"/>
        <v>0</v>
      </c>
      <c r="AR504">
        <f t="shared" si="110"/>
        <v>0</v>
      </c>
      <c r="AS504">
        <f t="shared" si="111"/>
        <v>0</v>
      </c>
      <c r="AT504">
        <f t="shared" si="112"/>
        <v>0</v>
      </c>
      <c r="AU504">
        <f t="shared" si="113"/>
        <v>0</v>
      </c>
      <c r="AV504">
        <f t="shared" si="114"/>
        <v>0</v>
      </c>
      <c r="AW504">
        <f t="shared" si="115"/>
        <v>0</v>
      </c>
      <c r="AX504">
        <f t="shared" si="116"/>
        <v>0</v>
      </c>
      <c r="AY504">
        <f t="shared" si="117"/>
        <v>0</v>
      </c>
    </row>
    <row r="505" spans="38:51" x14ac:dyDescent="0.25">
      <c r="AL505" s="19" t="s">
        <v>132</v>
      </c>
      <c r="AM505">
        <f t="shared" si="105"/>
        <v>0</v>
      </c>
      <c r="AN505">
        <f t="shared" si="106"/>
        <v>0</v>
      </c>
      <c r="AO505">
        <f t="shared" si="107"/>
        <v>0</v>
      </c>
      <c r="AP505">
        <f t="shared" si="108"/>
        <v>0</v>
      </c>
      <c r="AQ505">
        <f t="shared" si="109"/>
        <v>0</v>
      </c>
      <c r="AR505">
        <f t="shared" si="110"/>
        <v>0</v>
      </c>
      <c r="AS505">
        <f t="shared" si="111"/>
        <v>0</v>
      </c>
      <c r="AT505">
        <f t="shared" si="112"/>
        <v>0</v>
      </c>
      <c r="AU505">
        <f t="shared" si="113"/>
        <v>0</v>
      </c>
      <c r="AV505">
        <f t="shared" si="114"/>
        <v>0</v>
      </c>
      <c r="AW505">
        <f t="shared" si="115"/>
        <v>0</v>
      </c>
      <c r="AX505">
        <f t="shared" si="116"/>
        <v>0</v>
      </c>
      <c r="AY505">
        <f t="shared" si="117"/>
        <v>0</v>
      </c>
    </row>
    <row r="506" spans="38:51" x14ac:dyDescent="0.25">
      <c r="AL506" s="19" t="s">
        <v>133</v>
      </c>
      <c r="AM506">
        <f t="shared" si="105"/>
        <v>0</v>
      </c>
      <c r="AN506">
        <f t="shared" si="106"/>
        <v>0</v>
      </c>
      <c r="AO506">
        <f t="shared" si="107"/>
        <v>0</v>
      </c>
      <c r="AP506">
        <f t="shared" si="108"/>
        <v>0</v>
      </c>
      <c r="AQ506">
        <f t="shared" si="109"/>
        <v>0</v>
      </c>
      <c r="AR506">
        <f t="shared" si="110"/>
        <v>0</v>
      </c>
      <c r="AS506">
        <f t="shared" si="111"/>
        <v>0</v>
      </c>
      <c r="AT506">
        <f t="shared" si="112"/>
        <v>0</v>
      </c>
      <c r="AU506">
        <f t="shared" si="113"/>
        <v>0</v>
      </c>
      <c r="AV506">
        <f t="shared" si="114"/>
        <v>0</v>
      </c>
      <c r="AW506">
        <f t="shared" si="115"/>
        <v>0</v>
      </c>
      <c r="AX506">
        <f t="shared" si="116"/>
        <v>0</v>
      </c>
      <c r="AY506">
        <f t="shared" si="117"/>
        <v>0</v>
      </c>
    </row>
    <row r="507" spans="38:51" x14ac:dyDescent="0.25">
      <c r="AL507" s="19" t="s">
        <v>134</v>
      </c>
      <c r="AM507">
        <f t="shared" si="105"/>
        <v>0</v>
      </c>
      <c r="AN507">
        <f t="shared" si="106"/>
        <v>0</v>
      </c>
      <c r="AO507">
        <f t="shared" si="107"/>
        <v>0</v>
      </c>
      <c r="AP507">
        <f t="shared" si="108"/>
        <v>0</v>
      </c>
      <c r="AQ507">
        <f t="shared" si="109"/>
        <v>0</v>
      </c>
      <c r="AR507">
        <f t="shared" si="110"/>
        <v>0</v>
      </c>
      <c r="AS507">
        <f t="shared" si="111"/>
        <v>0</v>
      </c>
      <c r="AT507">
        <f t="shared" si="112"/>
        <v>0</v>
      </c>
      <c r="AU507">
        <f t="shared" si="113"/>
        <v>0</v>
      </c>
      <c r="AV507">
        <f t="shared" si="114"/>
        <v>0</v>
      </c>
      <c r="AW507">
        <f t="shared" si="115"/>
        <v>0</v>
      </c>
      <c r="AX507">
        <f t="shared" si="116"/>
        <v>0</v>
      </c>
      <c r="AY507">
        <f t="shared" si="117"/>
        <v>0</v>
      </c>
    </row>
    <row r="508" spans="38:51" x14ac:dyDescent="0.25">
      <c r="AL508" s="19" t="s">
        <v>135</v>
      </c>
      <c r="AM508">
        <f t="shared" si="105"/>
        <v>0</v>
      </c>
      <c r="AN508">
        <f t="shared" si="106"/>
        <v>0</v>
      </c>
      <c r="AO508">
        <f t="shared" si="107"/>
        <v>0</v>
      </c>
      <c r="AP508">
        <f t="shared" si="108"/>
        <v>0</v>
      </c>
      <c r="AQ508">
        <f t="shared" si="109"/>
        <v>0</v>
      </c>
      <c r="AR508">
        <f t="shared" si="110"/>
        <v>0</v>
      </c>
      <c r="AS508">
        <f t="shared" si="111"/>
        <v>0</v>
      </c>
      <c r="AT508">
        <f t="shared" si="112"/>
        <v>0</v>
      </c>
      <c r="AU508">
        <f t="shared" si="113"/>
        <v>0</v>
      </c>
      <c r="AV508">
        <f t="shared" si="114"/>
        <v>0</v>
      </c>
      <c r="AW508">
        <f t="shared" si="115"/>
        <v>0</v>
      </c>
      <c r="AX508">
        <f t="shared" si="116"/>
        <v>0</v>
      </c>
      <c r="AY508">
        <f t="shared" si="117"/>
        <v>0</v>
      </c>
    </row>
    <row r="509" spans="38:51" x14ac:dyDescent="0.25">
      <c r="AL509" s="19" t="s">
        <v>136</v>
      </c>
      <c r="AM509">
        <f t="shared" si="105"/>
        <v>0</v>
      </c>
      <c r="AN509">
        <f t="shared" si="106"/>
        <v>0</v>
      </c>
      <c r="AO509">
        <f t="shared" si="107"/>
        <v>0</v>
      </c>
      <c r="AP509">
        <f t="shared" si="108"/>
        <v>0</v>
      </c>
      <c r="AQ509">
        <f t="shared" si="109"/>
        <v>0</v>
      </c>
      <c r="AR509">
        <f t="shared" si="110"/>
        <v>0</v>
      </c>
      <c r="AS509">
        <f t="shared" si="111"/>
        <v>0</v>
      </c>
      <c r="AT509">
        <f t="shared" si="112"/>
        <v>0</v>
      </c>
      <c r="AU509">
        <f t="shared" si="113"/>
        <v>0</v>
      </c>
      <c r="AV509">
        <f t="shared" si="114"/>
        <v>0</v>
      </c>
      <c r="AW509">
        <f t="shared" si="115"/>
        <v>0</v>
      </c>
      <c r="AX509">
        <f t="shared" si="116"/>
        <v>0</v>
      </c>
      <c r="AY509">
        <f t="shared" si="117"/>
        <v>0</v>
      </c>
    </row>
    <row r="510" spans="38:51" x14ac:dyDescent="0.25">
      <c r="AL510" s="19" t="s">
        <v>137</v>
      </c>
      <c r="AM510">
        <f t="shared" si="105"/>
        <v>0</v>
      </c>
      <c r="AN510">
        <f t="shared" si="106"/>
        <v>0</v>
      </c>
      <c r="AO510">
        <f t="shared" si="107"/>
        <v>0</v>
      </c>
      <c r="AP510">
        <f t="shared" si="108"/>
        <v>0</v>
      </c>
      <c r="AQ510">
        <f t="shared" si="109"/>
        <v>0</v>
      </c>
      <c r="AR510">
        <f t="shared" si="110"/>
        <v>0</v>
      </c>
      <c r="AS510">
        <f t="shared" si="111"/>
        <v>0</v>
      </c>
      <c r="AT510">
        <f t="shared" si="112"/>
        <v>0</v>
      </c>
      <c r="AU510">
        <f t="shared" si="113"/>
        <v>0</v>
      </c>
      <c r="AV510">
        <f t="shared" si="114"/>
        <v>0</v>
      </c>
      <c r="AW510">
        <f t="shared" si="115"/>
        <v>0</v>
      </c>
      <c r="AX510">
        <f t="shared" si="116"/>
        <v>0</v>
      </c>
      <c r="AY510">
        <f t="shared" si="117"/>
        <v>0</v>
      </c>
    </row>
    <row r="511" spans="38:51" x14ac:dyDescent="0.25">
      <c r="AL511" s="19" t="s">
        <v>138</v>
      </c>
      <c r="AM511">
        <f t="shared" si="105"/>
        <v>0</v>
      </c>
      <c r="AN511">
        <f t="shared" si="106"/>
        <v>0</v>
      </c>
      <c r="AO511">
        <f t="shared" si="107"/>
        <v>0</v>
      </c>
      <c r="AP511">
        <f t="shared" si="108"/>
        <v>0</v>
      </c>
      <c r="AQ511">
        <f t="shared" si="109"/>
        <v>0</v>
      </c>
      <c r="AR511">
        <f t="shared" si="110"/>
        <v>0</v>
      </c>
      <c r="AS511">
        <f t="shared" si="111"/>
        <v>2</v>
      </c>
      <c r="AT511">
        <f t="shared" si="112"/>
        <v>0</v>
      </c>
      <c r="AU511">
        <f t="shared" si="113"/>
        <v>0</v>
      </c>
      <c r="AV511">
        <f t="shared" si="114"/>
        <v>1</v>
      </c>
      <c r="AW511">
        <f t="shared" si="115"/>
        <v>0</v>
      </c>
      <c r="AX511">
        <f t="shared" si="116"/>
        <v>0</v>
      </c>
      <c r="AY511">
        <f t="shared" si="117"/>
        <v>0</v>
      </c>
    </row>
    <row r="512" spans="38:51" x14ac:dyDescent="0.25">
      <c r="AL512" s="19" t="s">
        <v>291</v>
      </c>
      <c r="AM512">
        <f t="shared" si="105"/>
        <v>0</v>
      </c>
      <c r="AN512">
        <f t="shared" si="106"/>
        <v>0</v>
      </c>
      <c r="AO512">
        <f t="shared" si="107"/>
        <v>0</v>
      </c>
      <c r="AP512">
        <f t="shared" si="108"/>
        <v>0</v>
      </c>
      <c r="AQ512">
        <f t="shared" si="109"/>
        <v>0</v>
      </c>
      <c r="AR512">
        <f t="shared" si="110"/>
        <v>0</v>
      </c>
      <c r="AS512">
        <f t="shared" si="111"/>
        <v>0</v>
      </c>
      <c r="AT512">
        <f t="shared" si="112"/>
        <v>0</v>
      </c>
      <c r="AU512">
        <f t="shared" si="113"/>
        <v>0</v>
      </c>
      <c r="AV512">
        <f t="shared" si="114"/>
        <v>0</v>
      </c>
      <c r="AW512">
        <f t="shared" si="115"/>
        <v>0</v>
      </c>
      <c r="AX512">
        <f t="shared" si="116"/>
        <v>0</v>
      </c>
      <c r="AY512">
        <f t="shared" si="117"/>
        <v>0</v>
      </c>
    </row>
    <row r="513" spans="38:51" x14ac:dyDescent="0.25">
      <c r="AL513" s="19" t="s">
        <v>139</v>
      </c>
      <c r="AM513">
        <f t="shared" si="105"/>
        <v>1</v>
      </c>
      <c r="AN513">
        <f t="shared" si="106"/>
        <v>0</v>
      </c>
      <c r="AO513">
        <f t="shared" si="107"/>
        <v>0</v>
      </c>
      <c r="AP513">
        <f t="shared" si="108"/>
        <v>0</v>
      </c>
      <c r="AQ513">
        <f t="shared" si="109"/>
        <v>0</v>
      </c>
      <c r="AR513">
        <f t="shared" si="110"/>
        <v>0</v>
      </c>
      <c r="AS513">
        <f t="shared" si="111"/>
        <v>0</v>
      </c>
      <c r="AT513">
        <f t="shared" si="112"/>
        <v>0</v>
      </c>
      <c r="AU513">
        <f t="shared" si="113"/>
        <v>0</v>
      </c>
      <c r="AV513">
        <f t="shared" si="114"/>
        <v>0</v>
      </c>
      <c r="AW513">
        <f t="shared" si="115"/>
        <v>0</v>
      </c>
      <c r="AX513">
        <f t="shared" si="116"/>
        <v>0</v>
      </c>
      <c r="AY513">
        <f t="shared" si="117"/>
        <v>1</v>
      </c>
    </row>
    <row r="514" spans="38:51" x14ac:dyDescent="0.25">
      <c r="AL514" s="19" t="s">
        <v>140</v>
      </c>
      <c r="AM514">
        <f t="shared" si="105"/>
        <v>0</v>
      </c>
      <c r="AN514">
        <f t="shared" si="106"/>
        <v>0</v>
      </c>
      <c r="AO514">
        <f t="shared" si="107"/>
        <v>0</v>
      </c>
      <c r="AP514">
        <f t="shared" si="108"/>
        <v>0</v>
      </c>
      <c r="AQ514">
        <f t="shared" si="109"/>
        <v>0</v>
      </c>
      <c r="AR514">
        <f t="shared" si="110"/>
        <v>0</v>
      </c>
      <c r="AS514">
        <f t="shared" si="111"/>
        <v>0</v>
      </c>
      <c r="AT514">
        <f t="shared" si="112"/>
        <v>0</v>
      </c>
      <c r="AU514">
        <f t="shared" si="113"/>
        <v>0</v>
      </c>
      <c r="AV514">
        <f t="shared" si="114"/>
        <v>0</v>
      </c>
      <c r="AW514">
        <f t="shared" si="115"/>
        <v>0</v>
      </c>
      <c r="AX514">
        <f t="shared" si="116"/>
        <v>0</v>
      </c>
      <c r="AY514">
        <f t="shared" si="117"/>
        <v>0</v>
      </c>
    </row>
    <row r="515" spans="38:51" x14ac:dyDescent="0.25">
      <c r="AL515" s="19" t="s">
        <v>141</v>
      </c>
      <c r="AM515">
        <f t="shared" si="105"/>
        <v>0</v>
      </c>
      <c r="AN515">
        <f t="shared" si="106"/>
        <v>0</v>
      </c>
      <c r="AO515">
        <f t="shared" si="107"/>
        <v>0</v>
      </c>
      <c r="AP515">
        <f t="shared" si="108"/>
        <v>0</v>
      </c>
      <c r="AQ515">
        <f t="shared" si="109"/>
        <v>0</v>
      </c>
      <c r="AR515">
        <f t="shared" si="110"/>
        <v>0</v>
      </c>
      <c r="AS515">
        <f t="shared" si="111"/>
        <v>1</v>
      </c>
      <c r="AT515">
        <f t="shared" si="112"/>
        <v>1</v>
      </c>
      <c r="AU515">
        <f t="shared" si="113"/>
        <v>0</v>
      </c>
      <c r="AV515">
        <f t="shared" si="114"/>
        <v>0</v>
      </c>
      <c r="AW515">
        <f t="shared" si="115"/>
        <v>0</v>
      </c>
      <c r="AX515">
        <f t="shared" si="116"/>
        <v>0</v>
      </c>
      <c r="AY515">
        <f t="shared" si="117"/>
        <v>0</v>
      </c>
    </row>
    <row r="516" spans="38:51" x14ac:dyDescent="0.25">
      <c r="AL516" s="19" t="s">
        <v>142</v>
      </c>
      <c r="AM516">
        <f t="shared" si="105"/>
        <v>0</v>
      </c>
      <c r="AN516">
        <f t="shared" si="106"/>
        <v>0</v>
      </c>
      <c r="AO516">
        <f t="shared" si="107"/>
        <v>0</v>
      </c>
      <c r="AP516">
        <f t="shared" si="108"/>
        <v>0</v>
      </c>
      <c r="AQ516">
        <f t="shared" si="109"/>
        <v>0</v>
      </c>
      <c r="AR516">
        <f t="shared" si="110"/>
        <v>0</v>
      </c>
      <c r="AS516">
        <f t="shared" si="111"/>
        <v>0</v>
      </c>
      <c r="AT516">
        <f t="shared" si="112"/>
        <v>0</v>
      </c>
      <c r="AU516">
        <f t="shared" si="113"/>
        <v>0</v>
      </c>
      <c r="AV516">
        <f t="shared" si="114"/>
        <v>0</v>
      </c>
      <c r="AW516">
        <f t="shared" si="115"/>
        <v>0</v>
      </c>
      <c r="AX516">
        <f t="shared" si="116"/>
        <v>0</v>
      </c>
      <c r="AY516">
        <f t="shared" si="117"/>
        <v>0</v>
      </c>
    </row>
    <row r="517" spans="38:51" x14ac:dyDescent="0.25">
      <c r="AL517" s="19" t="s">
        <v>143</v>
      </c>
      <c r="AM517">
        <f t="shared" si="105"/>
        <v>0</v>
      </c>
      <c r="AN517">
        <f t="shared" si="106"/>
        <v>0</v>
      </c>
      <c r="AO517">
        <f t="shared" si="107"/>
        <v>0</v>
      </c>
      <c r="AP517">
        <f t="shared" si="108"/>
        <v>0</v>
      </c>
      <c r="AQ517">
        <f t="shared" si="109"/>
        <v>0</v>
      </c>
      <c r="AR517">
        <f t="shared" si="110"/>
        <v>0</v>
      </c>
      <c r="AS517">
        <f t="shared" si="111"/>
        <v>0</v>
      </c>
      <c r="AT517">
        <f t="shared" si="112"/>
        <v>0</v>
      </c>
      <c r="AU517">
        <f t="shared" si="113"/>
        <v>0</v>
      </c>
      <c r="AV517">
        <f t="shared" si="114"/>
        <v>0</v>
      </c>
      <c r="AW517">
        <f t="shared" si="115"/>
        <v>0</v>
      </c>
      <c r="AX517">
        <f t="shared" si="116"/>
        <v>0</v>
      </c>
      <c r="AY517">
        <f t="shared" si="117"/>
        <v>0</v>
      </c>
    </row>
    <row r="518" spans="38:51" x14ac:dyDescent="0.25">
      <c r="AL518" s="19" t="s">
        <v>144</v>
      </c>
      <c r="AM518">
        <f t="shared" si="105"/>
        <v>0</v>
      </c>
      <c r="AN518">
        <f t="shared" si="106"/>
        <v>0</v>
      </c>
      <c r="AO518">
        <f t="shared" si="107"/>
        <v>0</v>
      </c>
      <c r="AP518">
        <f t="shared" si="108"/>
        <v>0</v>
      </c>
      <c r="AQ518">
        <f t="shared" si="109"/>
        <v>0</v>
      </c>
      <c r="AR518">
        <f t="shared" si="110"/>
        <v>0</v>
      </c>
      <c r="AS518">
        <f t="shared" si="111"/>
        <v>0</v>
      </c>
      <c r="AT518">
        <f t="shared" si="112"/>
        <v>0</v>
      </c>
      <c r="AU518">
        <f t="shared" si="113"/>
        <v>0</v>
      </c>
      <c r="AV518">
        <f t="shared" si="114"/>
        <v>0</v>
      </c>
      <c r="AW518">
        <f t="shared" si="115"/>
        <v>0</v>
      </c>
      <c r="AX518">
        <f t="shared" si="116"/>
        <v>0</v>
      </c>
      <c r="AY518">
        <f t="shared" si="117"/>
        <v>0</v>
      </c>
    </row>
    <row r="519" spans="38:51" x14ac:dyDescent="0.25">
      <c r="AL519" s="19" t="s">
        <v>145</v>
      </c>
      <c r="AM519">
        <f t="shared" si="105"/>
        <v>0</v>
      </c>
      <c r="AN519">
        <f t="shared" si="106"/>
        <v>0</v>
      </c>
      <c r="AO519">
        <f t="shared" si="107"/>
        <v>0</v>
      </c>
      <c r="AP519">
        <f t="shared" si="108"/>
        <v>0</v>
      </c>
      <c r="AQ519">
        <f t="shared" si="109"/>
        <v>0</v>
      </c>
      <c r="AR519">
        <f t="shared" si="110"/>
        <v>0</v>
      </c>
      <c r="AS519">
        <f t="shared" si="111"/>
        <v>0</v>
      </c>
      <c r="AT519">
        <f t="shared" si="112"/>
        <v>0</v>
      </c>
      <c r="AU519">
        <f t="shared" si="113"/>
        <v>0</v>
      </c>
      <c r="AV519">
        <f t="shared" si="114"/>
        <v>0</v>
      </c>
      <c r="AW519">
        <f t="shared" si="115"/>
        <v>0</v>
      </c>
      <c r="AX519">
        <f t="shared" si="116"/>
        <v>0</v>
      </c>
      <c r="AY519">
        <f t="shared" si="117"/>
        <v>0</v>
      </c>
    </row>
    <row r="520" spans="38:51" x14ac:dyDescent="0.25">
      <c r="AL520" s="19" t="s">
        <v>146</v>
      </c>
      <c r="AM520">
        <f t="shared" si="105"/>
        <v>0</v>
      </c>
      <c r="AN520">
        <f t="shared" si="106"/>
        <v>0</v>
      </c>
      <c r="AO520">
        <f t="shared" si="107"/>
        <v>0</v>
      </c>
      <c r="AP520">
        <f t="shared" si="108"/>
        <v>0</v>
      </c>
      <c r="AQ520">
        <f t="shared" si="109"/>
        <v>0</v>
      </c>
      <c r="AR520">
        <f t="shared" si="110"/>
        <v>0</v>
      </c>
      <c r="AS520">
        <f t="shared" si="111"/>
        <v>0</v>
      </c>
      <c r="AT520">
        <f t="shared" si="112"/>
        <v>0</v>
      </c>
      <c r="AU520">
        <f t="shared" si="113"/>
        <v>0</v>
      </c>
      <c r="AV520">
        <f t="shared" si="114"/>
        <v>0</v>
      </c>
      <c r="AW520">
        <f t="shared" si="115"/>
        <v>0</v>
      </c>
      <c r="AX520">
        <f t="shared" si="116"/>
        <v>0</v>
      </c>
      <c r="AY520">
        <f t="shared" si="117"/>
        <v>0</v>
      </c>
    </row>
    <row r="521" spans="38:51" x14ac:dyDescent="0.25">
      <c r="AL521" s="19" t="s">
        <v>147</v>
      </c>
      <c r="AM521">
        <f t="shared" si="105"/>
        <v>0</v>
      </c>
      <c r="AN521">
        <f t="shared" si="106"/>
        <v>0</v>
      </c>
      <c r="AO521">
        <f t="shared" si="107"/>
        <v>0</v>
      </c>
      <c r="AP521">
        <f t="shared" si="108"/>
        <v>0</v>
      </c>
      <c r="AQ521">
        <f t="shared" si="109"/>
        <v>0</v>
      </c>
      <c r="AR521">
        <f t="shared" si="110"/>
        <v>0</v>
      </c>
      <c r="AS521">
        <f t="shared" si="111"/>
        <v>0</v>
      </c>
      <c r="AT521">
        <f t="shared" si="112"/>
        <v>0</v>
      </c>
      <c r="AU521">
        <f t="shared" si="113"/>
        <v>0</v>
      </c>
      <c r="AV521">
        <f t="shared" si="114"/>
        <v>0</v>
      </c>
      <c r="AW521">
        <f t="shared" si="115"/>
        <v>0</v>
      </c>
      <c r="AX521">
        <f t="shared" si="116"/>
        <v>0</v>
      </c>
      <c r="AY521">
        <f t="shared" si="117"/>
        <v>0</v>
      </c>
    </row>
    <row r="522" spans="38:51" x14ac:dyDescent="0.25">
      <c r="AL522" s="19" t="s">
        <v>328</v>
      </c>
      <c r="AM522">
        <f t="shared" si="105"/>
        <v>0</v>
      </c>
      <c r="AN522">
        <f t="shared" si="106"/>
        <v>0</v>
      </c>
      <c r="AO522">
        <f t="shared" si="107"/>
        <v>0</v>
      </c>
      <c r="AP522">
        <f t="shared" si="108"/>
        <v>0</v>
      </c>
      <c r="AQ522">
        <f t="shared" si="109"/>
        <v>0</v>
      </c>
      <c r="AR522">
        <f t="shared" si="110"/>
        <v>0</v>
      </c>
      <c r="AS522">
        <f t="shared" si="111"/>
        <v>0</v>
      </c>
      <c r="AT522">
        <f t="shared" si="112"/>
        <v>0</v>
      </c>
      <c r="AU522">
        <f t="shared" si="113"/>
        <v>0</v>
      </c>
      <c r="AV522">
        <f t="shared" si="114"/>
        <v>0</v>
      </c>
      <c r="AW522">
        <f t="shared" si="115"/>
        <v>0</v>
      </c>
      <c r="AX522">
        <f t="shared" si="116"/>
        <v>0</v>
      </c>
      <c r="AY522">
        <f t="shared" si="117"/>
        <v>0</v>
      </c>
    </row>
    <row r="523" spans="38:51" x14ac:dyDescent="0.25">
      <c r="AL523" s="19" t="s">
        <v>148</v>
      </c>
      <c r="AM523">
        <f t="shared" si="105"/>
        <v>0</v>
      </c>
      <c r="AN523">
        <f t="shared" si="106"/>
        <v>1</v>
      </c>
      <c r="AO523">
        <f t="shared" si="107"/>
        <v>1</v>
      </c>
      <c r="AP523">
        <f t="shared" si="108"/>
        <v>0</v>
      </c>
      <c r="AQ523">
        <f t="shared" si="109"/>
        <v>0</v>
      </c>
      <c r="AR523">
        <f t="shared" si="110"/>
        <v>0</v>
      </c>
      <c r="AS523">
        <f t="shared" si="111"/>
        <v>0</v>
      </c>
      <c r="AT523">
        <f t="shared" si="112"/>
        <v>0</v>
      </c>
      <c r="AU523">
        <f t="shared" si="113"/>
        <v>0</v>
      </c>
      <c r="AV523">
        <f t="shared" si="114"/>
        <v>0</v>
      </c>
      <c r="AW523">
        <f t="shared" si="115"/>
        <v>1</v>
      </c>
      <c r="AX523">
        <f t="shared" si="116"/>
        <v>0</v>
      </c>
      <c r="AY523">
        <f t="shared" si="117"/>
        <v>0</v>
      </c>
    </row>
    <row r="524" spans="38:51" x14ac:dyDescent="0.25">
      <c r="AL524" s="19" t="s">
        <v>149</v>
      </c>
      <c r="AM524">
        <f t="shared" si="105"/>
        <v>0</v>
      </c>
      <c r="AN524">
        <f t="shared" si="106"/>
        <v>0</v>
      </c>
      <c r="AO524">
        <f t="shared" si="107"/>
        <v>0</v>
      </c>
      <c r="AP524">
        <f t="shared" si="108"/>
        <v>0</v>
      </c>
      <c r="AQ524">
        <f t="shared" si="109"/>
        <v>0</v>
      </c>
      <c r="AR524">
        <f t="shared" si="110"/>
        <v>0</v>
      </c>
      <c r="AS524">
        <f t="shared" si="111"/>
        <v>0</v>
      </c>
      <c r="AT524">
        <f t="shared" si="112"/>
        <v>0</v>
      </c>
      <c r="AU524">
        <f t="shared" si="113"/>
        <v>0</v>
      </c>
      <c r="AV524">
        <f t="shared" si="114"/>
        <v>0</v>
      </c>
      <c r="AW524">
        <f t="shared" si="115"/>
        <v>0</v>
      </c>
      <c r="AX524">
        <f t="shared" si="116"/>
        <v>0</v>
      </c>
      <c r="AY524">
        <f t="shared" si="117"/>
        <v>0</v>
      </c>
    </row>
    <row r="525" spans="38:51" x14ac:dyDescent="0.25">
      <c r="AL525" s="19" t="s">
        <v>150</v>
      </c>
      <c r="AM525">
        <f t="shared" si="105"/>
        <v>0</v>
      </c>
      <c r="AN525">
        <f t="shared" si="106"/>
        <v>0</v>
      </c>
      <c r="AO525">
        <f t="shared" si="107"/>
        <v>0</v>
      </c>
      <c r="AP525">
        <f t="shared" si="108"/>
        <v>0</v>
      </c>
      <c r="AQ525">
        <f t="shared" si="109"/>
        <v>0</v>
      </c>
      <c r="AR525">
        <f t="shared" si="110"/>
        <v>0</v>
      </c>
      <c r="AS525">
        <f t="shared" si="111"/>
        <v>0</v>
      </c>
      <c r="AT525">
        <f t="shared" si="112"/>
        <v>0</v>
      </c>
      <c r="AU525">
        <f t="shared" si="113"/>
        <v>0</v>
      </c>
      <c r="AV525">
        <f t="shared" si="114"/>
        <v>0</v>
      </c>
      <c r="AW525">
        <f t="shared" si="115"/>
        <v>0</v>
      </c>
      <c r="AX525">
        <f t="shared" si="116"/>
        <v>0</v>
      </c>
      <c r="AY525">
        <f t="shared" si="117"/>
        <v>0</v>
      </c>
    </row>
    <row r="526" spans="38:51" x14ac:dyDescent="0.25">
      <c r="AL526" s="19" t="s">
        <v>151</v>
      </c>
      <c r="AM526">
        <f t="shared" si="105"/>
        <v>0</v>
      </c>
      <c r="AN526">
        <f t="shared" si="106"/>
        <v>0</v>
      </c>
      <c r="AO526">
        <f t="shared" si="107"/>
        <v>0</v>
      </c>
      <c r="AP526">
        <f t="shared" si="108"/>
        <v>0</v>
      </c>
      <c r="AQ526">
        <f t="shared" si="109"/>
        <v>0</v>
      </c>
      <c r="AR526">
        <f t="shared" si="110"/>
        <v>0</v>
      </c>
      <c r="AS526">
        <f t="shared" si="111"/>
        <v>0</v>
      </c>
      <c r="AT526">
        <f t="shared" si="112"/>
        <v>0</v>
      </c>
      <c r="AU526">
        <f t="shared" si="113"/>
        <v>0</v>
      </c>
      <c r="AV526">
        <f t="shared" si="114"/>
        <v>0</v>
      </c>
      <c r="AW526">
        <f t="shared" si="115"/>
        <v>0</v>
      </c>
      <c r="AX526">
        <f t="shared" si="116"/>
        <v>0</v>
      </c>
      <c r="AY526">
        <f t="shared" si="117"/>
        <v>0</v>
      </c>
    </row>
    <row r="527" spans="38:51" x14ac:dyDescent="0.25">
      <c r="AL527" s="19" t="s">
        <v>152</v>
      </c>
      <c r="AM527">
        <f t="shared" si="105"/>
        <v>0</v>
      </c>
      <c r="AN527">
        <f t="shared" si="106"/>
        <v>0</v>
      </c>
      <c r="AO527">
        <f t="shared" si="107"/>
        <v>0</v>
      </c>
      <c r="AP527">
        <f t="shared" si="108"/>
        <v>0</v>
      </c>
      <c r="AQ527">
        <f t="shared" si="109"/>
        <v>0</v>
      </c>
      <c r="AR527">
        <f t="shared" si="110"/>
        <v>0</v>
      </c>
      <c r="AS527">
        <f t="shared" si="111"/>
        <v>0</v>
      </c>
      <c r="AT527">
        <f t="shared" si="112"/>
        <v>0</v>
      </c>
      <c r="AU527">
        <f t="shared" si="113"/>
        <v>0</v>
      </c>
      <c r="AV527">
        <f t="shared" si="114"/>
        <v>0</v>
      </c>
      <c r="AW527">
        <f t="shared" si="115"/>
        <v>0</v>
      </c>
      <c r="AX527">
        <f t="shared" si="116"/>
        <v>0</v>
      </c>
      <c r="AY527">
        <f t="shared" si="117"/>
        <v>0</v>
      </c>
    </row>
    <row r="528" spans="38:51" x14ac:dyDescent="0.25">
      <c r="AL528" s="19" t="s">
        <v>153</v>
      </c>
      <c r="AM528">
        <f t="shared" si="105"/>
        <v>0</v>
      </c>
      <c r="AN528">
        <f t="shared" si="106"/>
        <v>0</v>
      </c>
      <c r="AO528">
        <f t="shared" si="107"/>
        <v>0</v>
      </c>
      <c r="AP528">
        <f t="shared" si="108"/>
        <v>0</v>
      </c>
      <c r="AQ528">
        <f t="shared" si="109"/>
        <v>0</v>
      </c>
      <c r="AR528">
        <f t="shared" si="110"/>
        <v>0</v>
      </c>
      <c r="AS528">
        <f t="shared" si="111"/>
        <v>0</v>
      </c>
      <c r="AT528">
        <f t="shared" si="112"/>
        <v>0</v>
      </c>
      <c r="AU528">
        <f t="shared" si="113"/>
        <v>0</v>
      </c>
      <c r="AV528">
        <f t="shared" si="114"/>
        <v>0</v>
      </c>
      <c r="AW528">
        <f t="shared" si="115"/>
        <v>0</v>
      </c>
      <c r="AX528">
        <f t="shared" si="116"/>
        <v>0</v>
      </c>
      <c r="AY528">
        <f t="shared" si="117"/>
        <v>0</v>
      </c>
    </row>
    <row r="529" spans="38:51" x14ac:dyDescent="0.25">
      <c r="AL529" s="19" t="s">
        <v>154</v>
      </c>
      <c r="AM529">
        <f t="shared" si="105"/>
        <v>0</v>
      </c>
      <c r="AN529">
        <f t="shared" si="106"/>
        <v>0</v>
      </c>
      <c r="AO529">
        <f t="shared" si="107"/>
        <v>0</v>
      </c>
      <c r="AP529">
        <f t="shared" si="108"/>
        <v>0</v>
      </c>
      <c r="AQ529">
        <f t="shared" si="109"/>
        <v>0</v>
      </c>
      <c r="AR529">
        <f t="shared" si="110"/>
        <v>0</v>
      </c>
      <c r="AS529">
        <f t="shared" si="111"/>
        <v>1</v>
      </c>
      <c r="AT529">
        <f t="shared" si="112"/>
        <v>0</v>
      </c>
      <c r="AU529">
        <f t="shared" si="113"/>
        <v>0</v>
      </c>
      <c r="AV529">
        <f t="shared" si="114"/>
        <v>0</v>
      </c>
      <c r="AW529">
        <f t="shared" si="115"/>
        <v>0</v>
      </c>
      <c r="AX529">
        <f t="shared" si="116"/>
        <v>1</v>
      </c>
      <c r="AY529">
        <f t="shared" si="117"/>
        <v>2</v>
      </c>
    </row>
    <row r="530" spans="38:51" x14ac:dyDescent="0.25">
      <c r="AL530" s="19" t="s">
        <v>155</v>
      </c>
      <c r="AM530">
        <f t="shared" si="105"/>
        <v>0</v>
      </c>
      <c r="AN530">
        <f t="shared" si="106"/>
        <v>0</v>
      </c>
      <c r="AO530">
        <f t="shared" si="107"/>
        <v>0</v>
      </c>
      <c r="AP530">
        <f t="shared" si="108"/>
        <v>0</v>
      </c>
      <c r="AQ530">
        <f t="shared" si="109"/>
        <v>0</v>
      </c>
      <c r="AR530">
        <f t="shared" si="110"/>
        <v>0</v>
      </c>
      <c r="AS530">
        <f t="shared" si="111"/>
        <v>0</v>
      </c>
      <c r="AT530">
        <f t="shared" si="112"/>
        <v>0</v>
      </c>
      <c r="AU530">
        <f t="shared" si="113"/>
        <v>2</v>
      </c>
      <c r="AV530">
        <f t="shared" si="114"/>
        <v>0</v>
      </c>
      <c r="AW530">
        <f t="shared" si="115"/>
        <v>0</v>
      </c>
      <c r="AX530">
        <f t="shared" si="116"/>
        <v>0</v>
      </c>
      <c r="AY530">
        <f t="shared" si="117"/>
        <v>0</v>
      </c>
    </row>
    <row r="531" spans="38:51" x14ac:dyDescent="0.25">
      <c r="AL531" s="19" t="s">
        <v>156</v>
      </c>
      <c r="AM531">
        <f t="shared" si="105"/>
        <v>0</v>
      </c>
      <c r="AN531">
        <f t="shared" si="106"/>
        <v>0</v>
      </c>
      <c r="AO531">
        <f t="shared" si="107"/>
        <v>0</v>
      </c>
      <c r="AP531">
        <f t="shared" si="108"/>
        <v>0</v>
      </c>
      <c r="AQ531">
        <f t="shared" si="109"/>
        <v>0</v>
      </c>
      <c r="AR531">
        <f t="shared" si="110"/>
        <v>0</v>
      </c>
      <c r="AS531">
        <f t="shared" si="111"/>
        <v>0</v>
      </c>
      <c r="AT531">
        <f t="shared" si="112"/>
        <v>0</v>
      </c>
      <c r="AU531">
        <f t="shared" si="113"/>
        <v>0</v>
      </c>
      <c r="AV531">
        <f t="shared" si="114"/>
        <v>0</v>
      </c>
      <c r="AW531">
        <f t="shared" si="115"/>
        <v>0</v>
      </c>
      <c r="AX531">
        <f t="shared" si="116"/>
        <v>0</v>
      </c>
      <c r="AY531">
        <f t="shared" si="117"/>
        <v>0</v>
      </c>
    </row>
    <row r="532" spans="38:51" x14ac:dyDescent="0.25">
      <c r="AL532" s="19" t="s">
        <v>157</v>
      </c>
      <c r="AM532">
        <f t="shared" si="105"/>
        <v>0</v>
      </c>
      <c r="AN532">
        <f t="shared" si="106"/>
        <v>0</v>
      </c>
      <c r="AO532">
        <f t="shared" si="107"/>
        <v>0</v>
      </c>
      <c r="AP532">
        <f t="shared" si="108"/>
        <v>0</v>
      </c>
      <c r="AQ532">
        <f t="shared" si="109"/>
        <v>0</v>
      </c>
      <c r="AR532">
        <f t="shared" si="110"/>
        <v>0</v>
      </c>
      <c r="AS532">
        <f t="shared" si="111"/>
        <v>0</v>
      </c>
      <c r="AT532">
        <f t="shared" si="112"/>
        <v>0</v>
      </c>
      <c r="AU532">
        <f t="shared" si="113"/>
        <v>0</v>
      </c>
      <c r="AV532">
        <f t="shared" si="114"/>
        <v>0</v>
      </c>
      <c r="AW532">
        <f t="shared" si="115"/>
        <v>0</v>
      </c>
      <c r="AX532">
        <f t="shared" si="116"/>
        <v>0</v>
      </c>
      <c r="AY532">
        <f t="shared" si="117"/>
        <v>0</v>
      </c>
    </row>
    <row r="533" spans="38:51" x14ac:dyDescent="0.25">
      <c r="AL533" s="19" t="s">
        <v>158</v>
      </c>
      <c r="AM533">
        <f t="shared" si="105"/>
        <v>0</v>
      </c>
      <c r="AN533">
        <f t="shared" si="106"/>
        <v>0</v>
      </c>
      <c r="AO533">
        <f t="shared" si="107"/>
        <v>0</v>
      </c>
      <c r="AP533">
        <f t="shared" si="108"/>
        <v>0</v>
      </c>
      <c r="AQ533">
        <f t="shared" si="109"/>
        <v>0</v>
      </c>
      <c r="AR533">
        <f t="shared" si="110"/>
        <v>0</v>
      </c>
      <c r="AS533">
        <f t="shared" si="111"/>
        <v>0</v>
      </c>
      <c r="AT533">
        <f t="shared" si="112"/>
        <v>0</v>
      </c>
      <c r="AU533">
        <f t="shared" si="113"/>
        <v>0</v>
      </c>
      <c r="AV533">
        <f t="shared" si="114"/>
        <v>1</v>
      </c>
      <c r="AW533">
        <f t="shared" si="115"/>
        <v>0</v>
      </c>
      <c r="AX533">
        <f t="shared" si="116"/>
        <v>0</v>
      </c>
      <c r="AY533">
        <f t="shared" si="117"/>
        <v>0</v>
      </c>
    </row>
    <row r="534" spans="38:51" x14ac:dyDescent="0.25">
      <c r="AL534" s="19" t="s">
        <v>159</v>
      </c>
      <c r="AM534">
        <f t="shared" si="105"/>
        <v>0</v>
      </c>
      <c r="AN534">
        <f t="shared" si="106"/>
        <v>0</v>
      </c>
      <c r="AO534">
        <f t="shared" si="107"/>
        <v>0</v>
      </c>
      <c r="AP534">
        <f t="shared" si="108"/>
        <v>0</v>
      </c>
      <c r="AQ534">
        <f t="shared" si="109"/>
        <v>0</v>
      </c>
      <c r="AR534">
        <f t="shared" si="110"/>
        <v>0</v>
      </c>
      <c r="AS534">
        <f t="shared" si="111"/>
        <v>0</v>
      </c>
      <c r="AT534">
        <f t="shared" si="112"/>
        <v>0</v>
      </c>
      <c r="AU534">
        <f t="shared" si="113"/>
        <v>0</v>
      </c>
      <c r="AV534">
        <f t="shared" si="114"/>
        <v>0</v>
      </c>
      <c r="AW534">
        <f t="shared" si="115"/>
        <v>0</v>
      </c>
      <c r="AX534">
        <f t="shared" si="116"/>
        <v>0</v>
      </c>
      <c r="AY534">
        <f t="shared" si="117"/>
        <v>0</v>
      </c>
    </row>
    <row r="535" spans="38:51" x14ac:dyDescent="0.25">
      <c r="AL535" s="19" t="s">
        <v>160</v>
      </c>
      <c r="AM535">
        <f t="shared" si="105"/>
        <v>0</v>
      </c>
      <c r="AN535">
        <f t="shared" si="106"/>
        <v>0</v>
      </c>
      <c r="AO535">
        <f t="shared" si="107"/>
        <v>0</v>
      </c>
      <c r="AP535">
        <f t="shared" si="108"/>
        <v>0</v>
      </c>
      <c r="AQ535">
        <f t="shared" si="109"/>
        <v>0</v>
      </c>
      <c r="AR535">
        <f t="shared" si="110"/>
        <v>0</v>
      </c>
      <c r="AS535">
        <f t="shared" si="111"/>
        <v>0</v>
      </c>
      <c r="AT535">
        <f t="shared" si="112"/>
        <v>0</v>
      </c>
      <c r="AU535">
        <f t="shared" si="113"/>
        <v>0</v>
      </c>
      <c r="AV535">
        <f t="shared" si="114"/>
        <v>0</v>
      </c>
      <c r="AW535">
        <f t="shared" si="115"/>
        <v>0</v>
      </c>
      <c r="AX535">
        <f t="shared" si="116"/>
        <v>0</v>
      </c>
      <c r="AY535">
        <f t="shared" si="117"/>
        <v>0</v>
      </c>
    </row>
    <row r="536" spans="38:51" x14ac:dyDescent="0.25">
      <c r="AL536" s="19" t="s">
        <v>292</v>
      </c>
      <c r="AM536">
        <f t="shared" si="105"/>
        <v>0</v>
      </c>
      <c r="AN536">
        <f t="shared" si="106"/>
        <v>4</v>
      </c>
      <c r="AO536">
        <f t="shared" si="107"/>
        <v>0</v>
      </c>
      <c r="AP536">
        <f t="shared" si="108"/>
        <v>0</v>
      </c>
      <c r="AQ536">
        <f t="shared" si="109"/>
        <v>0</v>
      </c>
      <c r="AR536">
        <f t="shared" si="110"/>
        <v>0</v>
      </c>
      <c r="AS536">
        <f t="shared" si="111"/>
        <v>0</v>
      </c>
      <c r="AT536">
        <f t="shared" si="112"/>
        <v>0</v>
      </c>
      <c r="AU536">
        <f t="shared" si="113"/>
        <v>0</v>
      </c>
      <c r="AV536">
        <f t="shared" si="114"/>
        <v>0</v>
      </c>
      <c r="AW536">
        <f t="shared" si="115"/>
        <v>0</v>
      </c>
      <c r="AX536">
        <f t="shared" si="116"/>
        <v>0</v>
      </c>
      <c r="AY536">
        <f t="shared" si="117"/>
        <v>0</v>
      </c>
    </row>
    <row r="537" spans="38:51" x14ac:dyDescent="0.25">
      <c r="AL537" s="19" t="s">
        <v>161</v>
      </c>
      <c r="AM537">
        <f t="shared" si="105"/>
        <v>3</v>
      </c>
      <c r="AN537">
        <f t="shared" si="106"/>
        <v>0</v>
      </c>
      <c r="AO537">
        <f t="shared" si="107"/>
        <v>0</v>
      </c>
      <c r="AP537">
        <f t="shared" si="108"/>
        <v>0</v>
      </c>
      <c r="AQ537">
        <f t="shared" si="109"/>
        <v>0</v>
      </c>
      <c r="AR537">
        <f t="shared" si="110"/>
        <v>0</v>
      </c>
      <c r="AS537">
        <f t="shared" si="111"/>
        <v>0</v>
      </c>
      <c r="AT537">
        <f t="shared" si="112"/>
        <v>1</v>
      </c>
      <c r="AU537">
        <f t="shared" si="113"/>
        <v>0</v>
      </c>
      <c r="AV537">
        <f t="shared" si="114"/>
        <v>3</v>
      </c>
      <c r="AW537">
        <f t="shared" si="115"/>
        <v>0</v>
      </c>
      <c r="AX537">
        <f t="shared" si="116"/>
        <v>1</v>
      </c>
      <c r="AY537">
        <f t="shared" si="117"/>
        <v>0</v>
      </c>
    </row>
    <row r="538" spans="38:51" x14ac:dyDescent="0.25">
      <c r="AL538" s="19" t="s">
        <v>162</v>
      </c>
      <c r="AM538">
        <f t="shared" si="105"/>
        <v>0</v>
      </c>
      <c r="AN538">
        <f t="shared" si="106"/>
        <v>0</v>
      </c>
      <c r="AO538">
        <f t="shared" si="107"/>
        <v>0</v>
      </c>
      <c r="AP538">
        <f t="shared" si="108"/>
        <v>0</v>
      </c>
      <c r="AQ538">
        <f t="shared" si="109"/>
        <v>0</v>
      </c>
      <c r="AR538">
        <f t="shared" si="110"/>
        <v>0</v>
      </c>
      <c r="AS538">
        <f t="shared" si="111"/>
        <v>0</v>
      </c>
      <c r="AT538">
        <f t="shared" si="112"/>
        <v>0</v>
      </c>
      <c r="AU538">
        <f t="shared" si="113"/>
        <v>0</v>
      </c>
      <c r="AV538">
        <f t="shared" si="114"/>
        <v>0</v>
      </c>
      <c r="AW538">
        <f t="shared" si="115"/>
        <v>0</v>
      </c>
      <c r="AX538">
        <f t="shared" si="116"/>
        <v>0</v>
      </c>
      <c r="AY538">
        <f t="shared" si="117"/>
        <v>0</v>
      </c>
    </row>
    <row r="539" spans="38:51" x14ac:dyDescent="0.25">
      <c r="AL539" s="19" t="s">
        <v>163</v>
      </c>
      <c r="AM539">
        <f t="shared" si="105"/>
        <v>0</v>
      </c>
      <c r="AN539">
        <f t="shared" si="106"/>
        <v>0</v>
      </c>
      <c r="AO539">
        <f t="shared" si="107"/>
        <v>0</v>
      </c>
      <c r="AP539">
        <f t="shared" si="108"/>
        <v>0</v>
      </c>
      <c r="AQ539">
        <f t="shared" si="109"/>
        <v>0</v>
      </c>
      <c r="AR539">
        <f t="shared" si="110"/>
        <v>0</v>
      </c>
      <c r="AS539">
        <f t="shared" si="111"/>
        <v>0</v>
      </c>
      <c r="AT539">
        <f t="shared" si="112"/>
        <v>0</v>
      </c>
      <c r="AU539">
        <f t="shared" si="113"/>
        <v>0</v>
      </c>
      <c r="AV539">
        <f t="shared" si="114"/>
        <v>0</v>
      </c>
      <c r="AW539">
        <f t="shared" si="115"/>
        <v>0</v>
      </c>
      <c r="AX539">
        <f t="shared" si="116"/>
        <v>0</v>
      </c>
      <c r="AY539">
        <f t="shared" si="117"/>
        <v>0</v>
      </c>
    </row>
    <row r="540" spans="38:51" x14ac:dyDescent="0.25">
      <c r="AL540" s="19" t="s">
        <v>164</v>
      </c>
      <c r="AM540">
        <f t="shared" si="105"/>
        <v>0</v>
      </c>
      <c r="AN540">
        <f t="shared" si="106"/>
        <v>0</v>
      </c>
      <c r="AO540">
        <f t="shared" si="107"/>
        <v>0</v>
      </c>
      <c r="AP540">
        <f t="shared" si="108"/>
        <v>0</v>
      </c>
      <c r="AQ540">
        <f t="shared" si="109"/>
        <v>0</v>
      </c>
      <c r="AR540">
        <f t="shared" si="110"/>
        <v>0</v>
      </c>
      <c r="AS540">
        <f t="shared" si="111"/>
        <v>0</v>
      </c>
      <c r="AT540">
        <f t="shared" si="112"/>
        <v>0</v>
      </c>
      <c r="AU540">
        <f t="shared" si="113"/>
        <v>0</v>
      </c>
      <c r="AV540">
        <f t="shared" si="114"/>
        <v>0</v>
      </c>
      <c r="AW540">
        <f t="shared" si="115"/>
        <v>0</v>
      </c>
      <c r="AX540">
        <f t="shared" si="116"/>
        <v>0</v>
      </c>
      <c r="AY540">
        <f t="shared" si="117"/>
        <v>0</v>
      </c>
    </row>
    <row r="541" spans="38:51" x14ac:dyDescent="0.25">
      <c r="AL541" s="19" t="s">
        <v>165</v>
      </c>
      <c r="AM541">
        <f t="shared" si="105"/>
        <v>0</v>
      </c>
      <c r="AN541">
        <f t="shared" si="106"/>
        <v>0</v>
      </c>
      <c r="AO541">
        <f t="shared" si="107"/>
        <v>0</v>
      </c>
      <c r="AP541">
        <f t="shared" si="108"/>
        <v>0</v>
      </c>
      <c r="AQ541">
        <f t="shared" si="109"/>
        <v>0</v>
      </c>
      <c r="AR541">
        <f t="shared" si="110"/>
        <v>0</v>
      </c>
      <c r="AS541">
        <f t="shared" si="111"/>
        <v>0</v>
      </c>
      <c r="AT541">
        <f t="shared" si="112"/>
        <v>0</v>
      </c>
      <c r="AU541">
        <f t="shared" si="113"/>
        <v>0</v>
      </c>
      <c r="AV541">
        <f t="shared" si="114"/>
        <v>0</v>
      </c>
      <c r="AW541">
        <f t="shared" si="115"/>
        <v>0</v>
      </c>
      <c r="AX541">
        <f t="shared" si="116"/>
        <v>0</v>
      </c>
      <c r="AY541">
        <f t="shared" si="117"/>
        <v>0</v>
      </c>
    </row>
    <row r="542" spans="38:51" x14ac:dyDescent="0.25">
      <c r="AL542" s="19" t="s">
        <v>166</v>
      </c>
      <c r="AM542">
        <f t="shared" si="105"/>
        <v>0</v>
      </c>
      <c r="AN542">
        <f t="shared" si="106"/>
        <v>0</v>
      </c>
      <c r="AO542">
        <f t="shared" si="107"/>
        <v>0</v>
      </c>
      <c r="AP542">
        <f t="shared" si="108"/>
        <v>0</v>
      </c>
      <c r="AQ542">
        <f t="shared" si="109"/>
        <v>0</v>
      </c>
      <c r="AR542">
        <f t="shared" si="110"/>
        <v>0</v>
      </c>
      <c r="AS542">
        <f t="shared" si="111"/>
        <v>0</v>
      </c>
      <c r="AT542">
        <f t="shared" si="112"/>
        <v>0</v>
      </c>
      <c r="AU542">
        <f t="shared" si="113"/>
        <v>0</v>
      </c>
      <c r="AV542">
        <f t="shared" si="114"/>
        <v>0</v>
      </c>
      <c r="AW542">
        <f t="shared" si="115"/>
        <v>0</v>
      </c>
      <c r="AX542">
        <f t="shared" si="116"/>
        <v>0</v>
      </c>
      <c r="AY542">
        <f t="shared" si="117"/>
        <v>0</v>
      </c>
    </row>
    <row r="543" spans="38:51" x14ac:dyDescent="0.25">
      <c r="AL543" s="19" t="s">
        <v>167</v>
      </c>
      <c r="AM543">
        <f t="shared" si="105"/>
        <v>0</v>
      </c>
      <c r="AN543">
        <f t="shared" si="106"/>
        <v>0</v>
      </c>
      <c r="AO543">
        <f t="shared" si="107"/>
        <v>0</v>
      </c>
      <c r="AP543">
        <f t="shared" si="108"/>
        <v>0</v>
      </c>
      <c r="AQ543">
        <f t="shared" si="109"/>
        <v>0</v>
      </c>
      <c r="AR543">
        <f t="shared" si="110"/>
        <v>0</v>
      </c>
      <c r="AS543">
        <f t="shared" si="111"/>
        <v>0</v>
      </c>
      <c r="AT543">
        <f t="shared" si="112"/>
        <v>0</v>
      </c>
      <c r="AU543">
        <f t="shared" si="113"/>
        <v>0</v>
      </c>
      <c r="AV543">
        <f t="shared" si="114"/>
        <v>0</v>
      </c>
      <c r="AW543">
        <f t="shared" si="115"/>
        <v>0</v>
      </c>
      <c r="AX543">
        <f t="shared" si="116"/>
        <v>0</v>
      </c>
      <c r="AY543">
        <f t="shared" si="117"/>
        <v>0</v>
      </c>
    </row>
    <row r="544" spans="38:51" x14ac:dyDescent="0.25">
      <c r="AL544" s="19" t="s">
        <v>168</v>
      </c>
      <c r="AM544">
        <f t="shared" si="105"/>
        <v>0</v>
      </c>
      <c r="AN544">
        <f t="shared" si="106"/>
        <v>0</v>
      </c>
      <c r="AO544">
        <f t="shared" si="107"/>
        <v>0</v>
      </c>
      <c r="AP544">
        <f t="shared" si="108"/>
        <v>0</v>
      </c>
      <c r="AQ544">
        <f t="shared" si="109"/>
        <v>0</v>
      </c>
      <c r="AR544">
        <f t="shared" si="110"/>
        <v>0</v>
      </c>
      <c r="AS544">
        <f t="shared" si="111"/>
        <v>0</v>
      </c>
      <c r="AT544">
        <f t="shared" si="112"/>
        <v>0</v>
      </c>
      <c r="AU544">
        <f t="shared" si="113"/>
        <v>0</v>
      </c>
      <c r="AV544">
        <f t="shared" si="114"/>
        <v>0</v>
      </c>
      <c r="AW544">
        <f t="shared" si="115"/>
        <v>0</v>
      </c>
      <c r="AX544">
        <f t="shared" si="116"/>
        <v>0</v>
      </c>
      <c r="AY544">
        <f t="shared" si="117"/>
        <v>0</v>
      </c>
    </row>
    <row r="545" spans="38:51" x14ac:dyDescent="0.25">
      <c r="AL545" s="19" t="s">
        <v>169</v>
      </c>
      <c r="AM545">
        <f t="shared" si="105"/>
        <v>0</v>
      </c>
      <c r="AN545">
        <f t="shared" si="106"/>
        <v>0</v>
      </c>
      <c r="AO545">
        <f t="shared" si="107"/>
        <v>0</v>
      </c>
      <c r="AP545">
        <f t="shared" si="108"/>
        <v>0</v>
      </c>
      <c r="AQ545">
        <f t="shared" si="109"/>
        <v>0</v>
      </c>
      <c r="AR545">
        <f t="shared" si="110"/>
        <v>0</v>
      </c>
      <c r="AS545">
        <f t="shared" si="111"/>
        <v>0</v>
      </c>
      <c r="AT545">
        <f t="shared" si="112"/>
        <v>0</v>
      </c>
      <c r="AU545">
        <f t="shared" si="113"/>
        <v>0</v>
      </c>
      <c r="AV545">
        <f t="shared" si="114"/>
        <v>0</v>
      </c>
      <c r="AW545">
        <f t="shared" si="115"/>
        <v>0</v>
      </c>
      <c r="AX545">
        <f t="shared" si="116"/>
        <v>0</v>
      </c>
      <c r="AY545">
        <f t="shared" si="117"/>
        <v>0</v>
      </c>
    </row>
    <row r="546" spans="38:51" x14ac:dyDescent="0.25">
      <c r="AL546" s="19" t="s">
        <v>170</v>
      </c>
      <c r="AM546">
        <f t="shared" si="105"/>
        <v>0</v>
      </c>
      <c r="AN546">
        <f t="shared" si="106"/>
        <v>0</v>
      </c>
      <c r="AO546">
        <f t="shared" si="107"/>
        <v>0</v>
      </c>
      <c r="AP546">
        <f t="shared" si="108"/>
        <v>0</v>
      </c>
      <c r="AQ546">
        <f t="shared" si="109"/>
        <v>0</v>
      </c>
      <c r="AR546">
        <f t="shared" si="110"/>
        <v>0</v>
      </c>
      <c r="AS546">
        <f t="shared" si="111"/>
        <v>0</v>
      </c>
      <c r="AT546">
        <f t="shared" si="112"/>
        <v>0</v>
      </c>
      <c r="AU546">
        <f t="shared" si="113"/>
        <v>0</v>
      </c>
      <c r="AV546">
        <f t="shared" si="114"/>
        <v>0</v>
      </c>
      <c r="AW546">
        <f t="shared" si="115"/>
        <v>0</v>
      </c>
      <c r="AX546">
        <f t="shared" si="116"/>
        <v>0</v>
      </c>
      <c r="AY546">
        <f t="shared" si="117"/>
        <v>0</v>
      </c>
    </row>
    <row r="547" spans="38:51" x14ac:dyDescent="0.25">
      <c r="AL547" s="19" t="s">
        <v>240</v>
      </c>
      <c r="AM547">
        <f t="shared" si="105"/>
        <v>0</v>
      </c>
      <c r="AN547">
        <f t="shared" si="106"/>
        <v>0</v>
      </c>
      <c r="AO547">
        <f t="shared" si="107"/>
        <v>0</v>
      </c>
      <c r="AP547">
        <f t="shared" si="108"/>
        <v>0</v>
      </c>
      <c r="AQ547">
        <f t="shared" si="109"/>
        <v>0</v>
      </c>
      <c r="AR547">
        <f t="shared" si="110"/>
        <v>0</v>
      </c>
      <c r="AS547">
        <f t="shared" si="111"/>
        <v>0</v>
      </c>
      <c r="AT547">
        <f t="shared" si="112"/>
        <v>0</v>
      </c>
      <c r="AU547">
        <f t="shared" si="113"/>
        <v>0</v>
      </c>
      <c r="AV547">
        <f t="shared" si="114"/>
        <v>0</v>
      </c>
      <c r="AW547">
        <f t="shared" si="115"/>
        <v>0</v>
      </c>
      <c r="AX547">
        <f t="shared" si="116"/>
        <v>0</v>
      </c>
      <c r="AY547">
        <f t="shared" si="117"/>
        <v>0</v>
      </c>
    </row>
    <row r="548" spans="38:51" x14ac:dyDescent="0.25">
      <c r="AL548" s="19" t="s">
        <v>171</v>
      </c>
      <c r="AM548">
        <f t="shared" si="105"/>
        <v>0</v>
      </c>
      <c r="AN548">
        <f t="shared" si="106"/>
        <v>0</v>
      </c>
      <c r="AO548">
        <f t="shared" si="107"/>
        <v>0</v>
      </c>
      <c r="AP548">
        <f t="shared" si="108"/>
        <v>0</v>
      </c>
      <c r="AQ548">
        <f t="shared" si="109"/>
        <v>0</v>
      </c>
      <c r="AR548">
        <f t="shared" si="110"/>
        <v>0</v>
      </c>
      <c r="AS548">
        <f t="shared" si="111"/>
        <v>0</v>
      </c>
      <c r="AT548">
        <f t="shared" si="112"/>
        <v>0</v>
      </c>
      <c r="AU548">
        <f t="shared" si="113"/>
        <v>0</v>
      </c>
      <c r="AV548">
        <f t="shared" si="114"/>
        <v>0</v>
      </c>
      <c r="AW548">
        <f t="shared" si="115"/>
        <v>0</v>
      </c>
      <c r="AX548">
        <f t="shared" si="116"/>
        <v>0</v>
      </c>
      <c r="AY548">
        <f t="shared" si="117"/>
        <v>0</v>
      </c>
    </row>
    <row r="549" spans="38:51" x14ac:dyDescent="0.25">
      <c r="AL549" s="19" t="s">
        <v>172</v>
      </c>
      <c r="AM549">
        <f t="shared" si="105"/>
        <v>0</v>
      </c>
      <c r="AN549">
        <f t="shared" si="106"/>
        <v>0</v>
      </c>
      <c r="AO549">
        <f t="shared" si="107"/>
        <v>0</v>
      </c>
      <c r="AP549">
        <f t="shared" si="108"/>
        <v>0</v>
      </c>
      <c r="AQ549">
        <f t="shared" si="109"/>
        <v>0</v>
      </c>
      <c r="AR549">
        <f t="shared" si="110"/>
        <v>0</v>
      </c>
      <c r="AS549">
        <f t="shared" si="111"/>
        <v>0</v>
      </c>
      <c r="AT549">
        <f t="shared" si="112"/>
        <v>0</v>
      </c>
      <c r="AU549">
        <f t="shared" si="113"/>
        <v>0</v>
      </c>
      <c r="AV549">
        <f t="shared" si="114"/>
        <v>0</v>
      </c>
      <c r="AW549">
        <f t="shared" si="115"/>
        <v>0</v>
      </c>
      <c r="AX549">
        <f t="shared" si="116"/>
        <v>0</v>
      </c>
      <c r="AY549">
        <f t="shared" si="117"/>
        <v>0</v>
      </c>
    </row>
    <row r="550" spans="38:51" x14ac:dyDescent="0.25">
      <c r="AL550" s="19" t="s">
        <v>173</v>
      </c>
      <c r="AM550">
        <f t="shared" si="105"/>
        <v>0</v>
      </c>
      <c r="AN550">
        <f t="shared" si="106"/>
        <v>0</v>
      </c>
      <c r="AO550">
        <f t="shared" si="107"/>
        <v>0</v>
      </c>
      <c r="AP550">
        <f t="shared" si="108"/>
        <v>0</v>
      </c>
      <c r="AQ550">
        <f t="shared" si="109"/>
        <v>0</v>
      </c>
      <c r="AR550">
        <f t="shared" si="110"/>
        <v>0</v>
      </c>
      <c r="AS550">
        <f t="shared" si="111"/>
        <v>0</v>
      </c>
      <c r="AT550">
        <f t="shared" si="112"/>
        <v>0</v>
      </c>
      <c r="AU550">
        <f t="shared" si="113"/>
        <v>0</v>
      </c>
      <c r="AV550">
        <f t="shared" si="114"/>
        <v>0</v>
      </c>
      <c r="AW550">
        <f t="shared" si="115"/>
        <v>0</v>
      </c>
      <c r="AX550">
        <f t="shared" si="116"/>
        <v>0</v>
      </c>
      <c r="AY550">
        <f t="shared" si="117"/>
        <v>0</v>
      </c>
    </row>
    <row r="551" spans="38:51" x14ac:dyDescent="0.25">
      <c r="AL551" s="19" t="s">
        <v>236</v>
      </c>
      <c r="AM551">
        <f t="shared" si="105"/>
        <v>0</v>
      </c>
      <c r="AN551">
        <f t="shared" si="106"/>
        <v>0</v>
      </c>
      <c r="AO551">
        <f t="shared" si="107"/>
        <v>0</v>
      </c>
      <c r="AP551">
        <f t="shared" si="108"/>
        <v>0</v>
      </c>
      <c r="AQ551">
        <f t="shared" si="109"/>
        <v>0</v>
      </c>
      <c r="AR551">
        <f t="shared" si="110"/>
        <v>0</v>
      </c>
      <c r="AS551">
        <f t="shared" si="111"/>
        <v>0</v>
      </c>
      <c r="AT551">
        <f t="shared" si="112"/>
        <v>0</v>
      </c>
      <c r="AU551">
        <f t="shared" si="113"/>
        <v>0</v>
      </c>
      <c r="AV551">
        <f t="shared" si="114"/>
        <v>0</v>
      </c>
      <c r="AW551">
        <f t="shared" si="115"/>
        <v>0</v>
      </c>
      <c r="AX551">
        <f t="shared" si="116"/>
        <v>0</v>
      </c>
      <c r="AY551">
        <f t="shared" si="117"/>
        <v>0</v>
      </c>
    </row>
    <row r="552" spans="38:51" x14ac:dyDescent="0.25">
      <c r="AL552" s="19" t="s">
        <v>174</v>
      </c>
      <c r="AM552">
        <f t="shared" si="105"/>
        <v>3</v>
      </c>
      <c r="AN552">
        <f t="shared" si="106"/>
        <v>3</v>
      </c>
      <c r="AO552">
        <f t="shared" si="107"/>
        <v>1</v>
      </c>
      <c r="AP552">
        <f t="shared" si="108"/>
        <v>0</v>
      </c>
      <c r="AQ552">
        <f t="shared" si="109"/>
        <v>1</v>
      </c>
      <c r="AR552">
        <f t="shared" si="110"/>
        <v>3</v>
      </c>
      <c r="AS552">
        <f t="shared" si="111"/>
        <v>1</v>
      </c>
      <c r="AT552">
        <f t="shared" si="112"/>
        <v>0</v>
      </c>
      <c r="AU552">
        <f t="shared" si="113"/>
        <v>0</v>
      </c>
      <c r="AV552">
        <f t="shared" si="114"/>
        <v>0</v>
      </c>
      <c r="AW552">
        <f t="shared" si="115"/>
        <v>2</v>
      </c>
      <c r="AX552">
        <f t="shared" si="116"/>
        <v>0</v>
      </c>
      <c r="AY552">
        <f t="shared" si="117"/>
        <v>1</v>
      </c>
    </row>
    <row r="553" spans="38:51" x14ac:dyDescent="0.25">
      <c r="AL553" s="19" t="s">
        <v>175</v>
      </c>
      <c r="AM553">
        <f t="shared" si="105"/>
        <v>0</v>
      </c>
      <c r="AN553">
        <f t="shared" si="106"/>
        <v>0</v>
      </c>
      <c r="AO553">
        <f t="shared" si="107"/>
        <v>0</v>
      </c>
      <c r="AP553">
        <f t="shared" si="108"/>
        <v>0</v>
      </c>
      <c r="AQ553">
        <f t="shared" si="109"/>
        <v>0</v>
      </c>
      <c r="AR553">
        <f t="shared" si="110"/>
        <v>0</v>
      </c>
      <c r="AS553">
        <f t="shared" si="111"/>
        <v>0</v>
      </c>
      <c r="AT553">
        <f t="shared" si="112"/>
        <v>0</v>
      </c>
      <c r="AU553">
        <f t="shared" si="113"/>
        <v>0</v>
      </c>
      <c r="AV553">
        <f t="shared" si="114"/>
        <v>0</v>
      </c>
      <c r="AW553">
        <f t="shared" si="115"/>
        <v>0</v>
      </c>
      <c r="AX553">
        <f t="shared" si="116"/>
        <v>0</v>
      </c>
      <c r="AY553">
        <f t="shared" si="117"/>
        <v>0</v>
      </c>
    </row>
    <row r="554" spans="38:51" x14ac:dyDescent="0.25">
      <c r="AL554" s="19" t="s">
        <v>176</v>
      </c>
      <c r="AM554">
        <f t="shared" si="105"/>
        <v>0</v>
      </c>
      <c r="AN554">
        <f t="shared" si="106"/>
        <v>0</v>
      </c>
      <c r="AO554">
        <f t="shared" si="107"/>
        <v>0</v>
      </c>
      <c r="AP554">
        <f t="shared" si="108"/>
        <v>0</v>
      </c>
      <c r="AQ554">
        <f t="shared" si="109"/>
        <v>0</v>
      </c>
      <c r="AR554">
        <f t="shared" si="110"/>
        <v>0</v>
      </c>
      <c r="AS554">
        <f t="shared" si="111"/>
        <v>0</v>
      </c>
      <c r="AT554">
        <f t="shared" si="112"/>
        <v>0</v>
      </c>
      <c r="AU554">
        <f t="shared" si="113"/>
        <v>0</v>
      </c>
      <c r="AV554">
        <f t="shared" si="114"/>
        <v>0</v>
      </c>
      <c r="AW554">
        <f t="shared" si="115"/>
        <v>0</v>
      </c>
      <c r="AX554">
        <f t="shared" si="116"/>
        <v>0</v>
      </c>
      <c r="AY554">
        <f t="shared" si="117"/>
        <v>0</v>
      </c>
    </row>
    <row r="555" spans="38:51" x14ac:dyDescent="0.25">
      <c r="AL555" s="19" t="s">
        <v>177</v>
      </c>
      <c r="AM555">
        <f t="shared" si="105"/>
        <v>0</v>
      </c>
      <c r="AN555">
        <f t="shared" si="106"/>
        <v>0</v>
      </c>
      <c r="AO555">
        <f t="shared" si="107"/>
        <v>1</v>
      </c>
      <c r="AP555">
        <f t="shared" si="108"/>
        <v>0</v>
      </c>
      <c r="AQ555">
        <f t="shared" si="109"/>
        <v>1</v>
      </c>
      <c r="AR555">
        <f t="shared" si="110"/>
        <v>0</v>
      </c>
      <c r="AS555">
        <f t="shared" si="111"/>
        <v>0</v>
      </c>
      <c r="AT555">
        <f t="shared" si="112"/>
        <v>0</v>
      </c>
      <c r="AU555">
        <f t="shared" si="113"/>
        <v>0</v>
      </c>
      <c r="AV555">
        <f t="shared" si="114"/>
        <v>0</v>
      </c>
      <c r="AW555">
        <f t="shared" si="115"/>
        <v>0</v>
      </c>
      <c r="AX555">
        <f t="shared" si="116"/>
        <v>0</v>
      </c>
      <c r="AY555">
        <f t="shared" si="117"/>
        <v>0</v>
      </c>
    </row>
    <row r="556" spans="38:51" x14ac:dyDescent="0.25">
      <c r="AL556" s="19" t="s">
        <v>178</v>
      </c>
      <c r="AM556">
        <f t="shared" si="105"/>
        <v>0</v>
      </c>
      <c r="AN556">
        <f t="shared" si="106"/>
        <v>0</v>
      </c>
      <c r="AO556">
        <f t="shared" si="107"/>
        <v>0</v>
      </c>
      <c r="AP556">
        <f t="shared" si="108"/>
        <v>0</v>
      </c>
      <c r="AQ556">
        <f t="shared" si="109"/>
        <v>0</v>
      </c>
      <c r="AR556">
        <f t="shared" si="110"/>
        <v>0</v>
      </c>
      <c r="AS556">
        <f t="shared" si="111"/>
        <v>0</v>
      </c>
      <c r="AT556">
        <f t="shared" si="112"/>
        <v>0</v>
      </c>
      <c r="AU556">
        <f t="shared" si="113"/>
        <v>0</v>
      </c>
      <c r="AV556">
        <f t="shared" si="114"/>
        <v>0</v>
      </c>
      <c r="AW556">
        <f t="shared" si="115"/>
        <v>0</v>
      </c>
      <c r="AX556">
        <f t="shared" si="116"/>
        <v>0</v>
      </c>
      <c r="AY556">
        <f t="shared" si="117"/>
        <v>0</v>
      </c>
    </row>
    <row r="557" spans="38:51" x14ac:dyDescent="0.25">
      <c r="AL557" s="19" t="s">
        <v>179</v>
      </c>
      <c r="AM557">
        <f t="shared" si="105"/>
        <v>6</v>
      </c>
      <c r="AN557">
        <f t="shared" si="106"/>
        <v>5</v>
      </c>
      <c r="AO557">
        <f t="shared" si="107"/>
        <v>7</v>
      </c>
      <c r="AP557">
        <f t="shared" si="108"/>
        <v>6</v>
      </c>
      <c r="AQ557">
        <f t="shared" si="109"/>
        <v>1</v>
      </c>
      <c r="AR557">
        <f t="shared" si="110"/>
        <v>4</v>
      </c>
      <c r="AS557">
        <f t="shared" si="111"/>
        <v>3</v>
      </c>
      <c r="AT557">
        <f t="shared" si="112"/>
        <v>2</v>
      </c>
      <c r="AU557">
        <f t="shared" si="113"/>
        <v>1</v>
      </c>
      <c r="AV557">
        <f t="shared" si="114"/>
        <v>0</v>
      </c>
      <c r="AW557">
        <f t="shared" si="115"/>
        <v>1</v>
      </c>
      <c r="AX557">
        <f t="shared" si="116"/>
        <v>7</v>
      </c>
      <c r="AY557">
        <f t="shared" si="117"/>
        <v>7</v>
      </c>
    </row>
    <row r="558" spans="38:51" x14ac:dyDescent="0.25">
      <c r="AL558" s="19" t="s">
        <v>180</v>
      </c>
      <c r="AM558">
        <f t="shared" si="105"/>
        <v>0</v>
      </c>
      <c r="AN558">
        <f t="shared" si="106"/>
        <v>2</v>
      </c>
      <c r="AO558">
        <f t="shared" si="107"/>
        <v>1</v>
      </c>
      <c r="AP558">
        <f t="shared" si="108"/>
        <v>0</v>
      </c>
      <c r="AQ558">
        <f t="shared" si="109"/>
        <v>0</v>
      </c>
      <c r="AR558">
        <f t="shared" si="110"/>
        <v>0</v>
      </c>
      <c r="AS558">
        <f t="shared" si="111"/>
        <v>0</v>
      </c>
      <c r="AT558">
        <f t="shared" si="112"/>
        <v>0</v>
      </c>
      <c r="AU558">
        <f t="shared" si="113"/>
        <v>3</v>
      </c>
      <c r="AV558">
        <f t="shared" si="114"/>
        <v>0</v>
      </c>
      <c r="AW558">
        <f t="shared" si="115"/>
        <v>4</v>
      </c>
      <c r="AX558">
        <f t="shared" si="116"/>
        <v>5</v>
      </c>
      <c r="AY558">
        <f t="shared" si="117"/>
        <v>0</v>
      </c>
    </row>
    <row r="559" spans="38:51" x14ac:dyDescent="0.25">
      <c r="AL559" s="19" t="s">
        <v>181</v>
      </c>
      <c r="AM559">
        <f t="shared" si="105"/>
        <v>3</v>
      </c>
      <c r="AN559">
        <f t="shared" si="106"/>
        <v>1</v>
      </c>
      <c r="AO559">
        <f t="shared" si="107"/>
        <v>0</v>
      </c>
      <c r="AP559">
        <f t="shared" si="108"/>
        <v>0</v>
      </c>
      <c r="AQ559">
        <f t="shared" si="109"/>
        <v>0</v>
      </c>
      <c r="AR559">
        <f t="shared" si="110"/>
        <v>1</v>
      </c>
      <c r="AS559">
        <f t="shared" si="111"/>
        <v>3</v>
      </c>
      <c r="AT559">
        <f t="shared" si="112"/>
        <v>0</v>
      </c>
      <c r="AU559">
        <f t="shared" si="113"/>
        <v>1</v>
      </c>
      <c r="AV559">
        <f t="shared" si="114"/>
        <v>1</v>
      </c>
      <c r="AW559">
        <f t="shared" si="115"/>
        <v>1</v>
      </c>
      <c r="AX559">
        <f t="shared" si="116"/>
        <v>0</v>
      </c>
      <c r="AY559">
        <f t="shared" si="117"/>
        <v>0</v>
      </c>
    </row>
    <row r="560" spans="38:51" x14ac:dyDescent="0.25">
      <c r="AL560" s="19" t="s">
        <v>182</v>
      </c>
      <c r="AM560">
        <f t="shared" si="105"/>
        <v>0</v>
      </c>
      <c r="AN560">
        <f t="shared" si="106"/>
        <v>0</v>
      </c>
      <c r="AO560">
        <f t="shared" si="107"/>
        <v>0</v>
      </c>
      <c r="AP560">
        <f t="shared" si="108"/>
        <v>1</v>
      </c>
      <c r="AQ560">
        <f t="shared" si="109"/>
        <v>1</v>
      </c>
      <c r="AR560">
        <f t="shared" si="110"/>
        <v>2</v>
      </c>
      <c r="AS560">
        <f t="shared" si="111"/>
        <v>0</v>
      </c>
      <c r="AT560">
        <f t="shared" si="112"/>
        <v>0</v>
      </c>
      <c r="AU560">
        <f t="shared" si="113"/>
        <v>0</v>
      </c>
      <c r="AV560">
        <f t="shared" si="114"/>
        <v>0</v>
      </c>
      <c r="AW560">
        <f t="shared" si="115"/>
        <v>0</v>
      </c>
      <c r="AX560">
        <f t="shared" si="116"/>
        <v>0</v>
      </c>
      <c r="AY560">
        <f t="shared" si="117"/>
        <v>0</v>
      </c>
    </row>
    <row r="561" spans="38:51" x14ac:dyDescent="0.25">
      <c r="AL561" s="19" t="s">
        <v>183</v>
      </c>
      <c r="AM561">
        <f t="shared" si="105"/>
        <v>0</v>
      </c>
      <c r="AN561">
        <f t="shared" si="106"/>
        <v>0</v>
      </c>
      <c r="AO561">
        <f t="shared" si="107"/>
        <v>0</v>
      </c>
      <c r="AP561">
        <f t="shared" si="108"/>
        <v>1</v>
      </c>
      <c r="AQ561">
        <f t="shared" si="109"/>
        <v>0</v>
      </c>
      <c r="AR561">
        <f t="shared" si="110"/>
        <v>1</v>
      </c>
      <c r="AS561">
        <f t="shared" si="111"/>
        <v>0</v>
      </c>
      <c r="AT561">
        <f t="shared" si="112"/>
        <v>0</v>
      </c>
      <c r="AU561">
        <f t="shared" si="113"/>
        <v>0</v>
      </c>
      <c r="AV561">
        <f t="shared" si="114"/>
        <v>1</v>
      </c>
      <c r="AW561">
        <f t="shared" si="115"/>
        <v>0</v>
      </c>
      <c r="AX561">
        <f t="shared" si="116"/>
        <v>0</v>
      </c>
      <c r="AY561">
        <f t="shared" si="117"/>
        <v>0</v>
      </c>
    </row>
    <row r="562" spans="38:51" x14ac:dyDescent="0.25">
      <c r="AL562" s="19" t="s">
        <v>184</v>
      </c>
      <c r="AM562">
        <f t="shared" ref="AM562:AM564" si="118">COUNTIF($AM137:$AS137,"&gt;=100%")</f>
        <v>0</v>
      </c>
      <c r="AN562">
        <f t="shared" ref="AN562:AN564" si="119">COUNTIF($AU137:$BA137,"&gt;=100%")</f>
        <v>0</v>
      </c>
      <c r="AO562">
        <f t="shared" ref="AO562:AO564" si="120">COUNTIF($BC137:$BI137,"&gt;=100%")</f>
        <v>0</v>
      </c>
      <c r="AP562">
        <f t="shared" ref="AP562:AP564" si="121">COUNTIF($BK137:$BQ137,"&gt;=100%")</f>
        <v>0</v>
      </c>
      <c r="AQ562">
        <f t="shared" ref="AQ562:AQ564" si="122">COUNTIF($BS137:$BY137,"&gt;=100%")</f>
        <v>0</v>
      </c>
      <c r="AR562">
        <f t="shared" ref="AR562:AR564" si="123">COUNTIF($CA137:$CG137,"&gt;=100%")</f>
        <v>0</v>
      </c>
      <c r="AS562">
        <f t="shared" ref="AS562:AS564" si="124">COUNTIF($CI137:$CO137,"&gt;=100%")</f>
        <v>1</v>
      </c>
      <c r="AT562">
        <f t="shared" ref="AT562:AT564" si="125">COUNTIF($CQ137:$CW137,"&gt;=100%")</f>
        <v>0</v>
      </c>
      <c r="AU562">
        <f t="shared" ref="AU562:AU564" si="126">COUNTIF($CY137:$DE137,"&gt;=100%")</f>
        <v>0</v>
      </c>
      <c r="AV562">
        <f t="shared" ref="AV562:AV564" si="127">COUNTIF($DG137:$DM137,"&gt;=100%")</f>
        <v>0</v>
      </c>
      <c r="AW562">
        <f t="shared" ref="AW562:AW564" si="128">COUNTIF($DO137:$DU137,"&gt;=100%")</f>
        <v>0</v>
      </c>
      <c r="AX562">
        <f t="shared" ref="AX562:AX564" si="129">COUNTIF($DW137:$EC137,"&gt;=100%")</f>
        <v>0</v>
      </c>
      <c r="AY562">
        <f t="shared" ref="AY562:AY564" si="130">COUNTIF($EE137:$EK137,"&gt;=100%")</f>
        <v>0</v>
      </c>
    </row>
    <row r="563" spans="38:51" x14ac:dyDescent="0.25">
      <c r="AL563" s="19" t="s">
        <v>185</v>
      </c>
      <c r="AM563">
        <f t="shared" si="118"/>
        <v>0</v>
      </c>
      <c r="AN563">
        <f t="shared" si="119"/>
        <v>0</v>
      </c>
      <c r="AO563">
        <f t="shared" si="120"/>
        <v>0</v>
      </c>
      <c r="AP563">
        <f t="shared" si="121"/>
        <v>0</v>
      </c>
      <c r="AQ563">
        <f t="shared" si="122"/>
        <v>0</v>
      </c>
      <c r="AR563">
        <f t="shared" si="123"/>
        <v>0</v>
      </c>
      <c r="AS563">
        <f t="shared" si="124"/>
        <v>0</v>
      </c>
      <c r="AT563">
        <f t="shared" si="125"/>
        <v>0</v>
      </c>
      <c r="AU563">
        <f t="shared" si="126"/>
        <v>0</v>
      </c>
      <c r="AV563">
        <f t="shared" si="127"/>
        <v>0</v>
      </c>
      <c r="AW563">
        <f t="shared" si="128"/>
        <v>0</v>
      </c>
      <c r="AX563">
        <f t="shared" si="129"/>
        <v>0</v>
      </c>
      <c r="AY563">
        <f t="shared" si="130"/>
        <v>0</v>
      </c>
    </row>
    <row r="564" spans="38:51" x14ac:dyDescent="0.25">
      <c r="AL564" s="19" t="s">
        <v>186</v>
      </c>
      <c r="AM564">
        <f t="shared" si="118"/>
        <v>0</v>
      </c>
      <c r="AN564">
        <f t="shared" si="119"/>
        <v>0</v>
      </c>
      <c r="AO564">
        <f t="shared" si="120"/>
        <v>0</v>
      </c>
      <c r="AP564">
        <f t="shared" si="121"/>
        <v>0</v>
      </c>
      <c r="AQ564">
        <f t="shared" si="122"/>
        <v>0</v>
      </c>
      <c r="AR564">
        <f t="shared" si="123"/>
        <v>0</v>
      </c>
      <c r="AS564">
        <f t="shared" si="124"/>
        <v>0</v>
      </c>
      <c r="AT564">
        <f t="shared" si="125"/>
        <v>0</v>
      </c>
      <c r="AU564">
        <f t="shared" si="126"/>
        <v>0</v>
      </c>
      <c r="AV564">
        <f t="shared" si="127"/>
        <v>0</v>
      </c>
      <c r="AW564">
        <f t="shared" si="128"/>
        <v>0</v>
      </c>
      <c r="AX564">
        <f t="shared" si="129"/>
        <v>0</v>
      </c>
      <c r="AY564">
        <f t="shared" si="130"/>
        <v>0</v>
      </c>
    </row>
    <row r="565" spans="38:51" x14ac:dyDescent="0.25">
      <c r="AL565" s="19"/>
    </row>
    <row r="566" spans="38:51" x14ac:dyDescent="0.25">
      <c r="AL566" s="19"/>
    </row>
    <row r="567" spans="38:51" x14ac:dyDescent="0.25">
      <c r="AL567" s="19"/>
    </row>
    <row r="568" spans="38:51" x14ac:dyDescent="0.25">
      <c r="AL568" s="19"/>
    </row>
    <row r="569" spans="38:51" x14ac:dyDescent="0.25">
      <c r="AL569" s="19"/>
    </row>
  </sheetData>
  <mergeCells count="1">
    <mergeCell ref="I1:AD1"/>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J44"/>
  <sheetViews>
    <sheetView topLeftCell="AU1" workbookViewId="0">
      <selection activeCell="AX10" sqref="AX10"/>
    </sheetView>
  </sheetViews>
  <sheetFormatPr defaultRowHeight="15" x14ac:dyDescent="0.25"/>
  <cols>
    <col min="1" max="1" width="3.5703125" customWidth="1"/>
    <col min="2" max="2" width="26" bestFit="1" customWidth="1"/>
    <col min="3" max="3" width="16.28515625" bestFit="1" customWidth="1"/>
    <col min="4" max="4" width="7.5703125" customWidth="1"/>
    <col min="5" max="5" width="9.28515625" customWidth="1"/>
    <col min="6" max="6" width="23.140625" customWidth="1"/>
    <col min="7" max="7" width="21.7109375" customWidth="1"/>
    <col min="8" max="8" width="20.140625" customWidth="1"/>
    <col min="9" max="9" width="21.42578125" customWidth="1"/>
    <col min="10" max="11" width="11.28515625" customWidth="1"/>
    <col min="22" max="22" width="27" customWidth="1"/>
    <col min="23" max="23" width="16.28515625" bestFit="1" customWidth="1"/>
    <col min="24" max="24" width="7.5703125" customWidth="1"/>
    <col min="25" max="25" width="9.28515625" customWidth="1"/>
    <col min="26" max="26" width="23.140625" bestFit="1" customWidth="1"/>
    <col min="27" max="27" width="21.7109375" customWidth="1"/>
    <col min="28" max="28" width="20.140625" customWidth="1"/>
    <col min="29" max="29" width="21.42578125" customWidth="1"/>
    <col min="30" max="31" width="11.28515625" customWidth="1"/>
    <col min="43" max="43" width="28.42578125" customWidth="1"/>
    <col min="44" max="44" width="16.28515625" customWidth="1"/>
    <col min="45" max="45" width="7.5703125" customWidth="1"/>
    <col min="46" max="46" width="9.28515625" customWidth="1"/>
    <col min="47" max="47" width="23.140625" bestFit="1" customWidth="1"/>
    <col min="48" max="48" width="21.7109375" bestFit="1" customWidth="1"/>
    <col min="49" max="49" width="20.140625" customWidth="1"/>
    <col min="50" max="50" width="21.42578125" customWidth="1"/>
    <col min="51" max="52" width="11.28515625" customWidth="1"/>
    <col min="53" max="53" width="11.28515625" bestFit="1" customWidth="1"/>
  </cols>
  <sheetData>
    <row r="1" spans="2:62" x14ac:dyDescent="0.25">
      <c r="B1" s="154" t="s">
        <v>309</v>
      </c>
      <c r="C1" s="154"/>
      <c r="D1" s="154"/>
      <c r="E1" s="154"/>
      <c r="F1" s="154"/>
      <c r="G1" s="154"/>
      <c r="H1" s="154"/>
      <c r="I1" s="154"/>
      <c r="J1" s="154"/>
      <c r="K1" s="154"/>
      <c r="L1" s="154"/>
      <c r="M1" s="154"/>
      <c r="N1" s="154"/>
      <c r="O1" s="154"/>
      <c r="P1" s="154"/>
      <c r="Q1" s="154"/>
      <c r="V1" s="152" t="s">
        <v>310</v>
      </c>
      <c r="W1" s="152"/>
      <c r="X1" s="152"/>
      <c r="Y1" s="152"/>
      <c r="Z1" s="152"/>
      <c r="AA1" s="152"/>
      <c r="AB1" s="152"/>
      <c r="AC1" s="152"/>
      <c r="AD1" s="152"/>
      <c r="AE1" s="152"/>
      <c r="AF1" s="152"/>
      <c r="AG1" s="152"/>
      <c r="AH1" s="152"/>
      <c r="AI1" s="152"/>
      <c r="AJ1" s="152"/>
      <c r="AK1" s="152"/>
      <c r="AQ1" s="152" t="s">
        <v>311</v>
      </c>
      <c r="AR1" s="152"/>
      <c r="AS1" s="152"/>
      <c r="AT1" s="152"/>
      <c r="AU1" s="152"/>
      <c r="AV1" s="152"/>
      <c r="AW1" s="152"/>
      <c r="AX1" s="152"/>
      <c r="AY1" s="152"/>
      <c r="AZ1" s="152"/>
      <c r="BA1" s="152"/>
      <c r="BB1" s="152"/>
      <c r="BC1" s="152"/>
      <c r="BD1" s="152"/>
      <c r="BE1" s="152"/>
      <c r="BF1" s="152"/>
      <c r="BG1" s="152"/>
    </row>
    <row r="3" spans="2:62" x14ac:dyDescent="0.25">
      <c r="B3" s="18" t="s">
        <v>41</v>
      </c>
      <c r="C3" t="s" vm="1">
        <v>287</v>
      </c>
      <c r="V3" s="18" t="s">
        <v>41</v>
      </c>
      <c r="W3" t="s" vm="1">
        <v>287</v>
      </c>
    </row>
    <row r="4" spans="2:62" x14ac:dyDescent="0.25">
      <c r="M4" t="s">
        <v>42</v>
      </c>
      <c r="N4" t="s">
        <v>1</v>
      </c>
      <c r="O4" t="s">
        <v>241</v>
      </c>
      <c r="P4" t="s">
        <v>282</v>
      </c>
      <c r="Q4" t="s">
        <v>238</v>
      </c>
      <c r="R4" t="s">
        <v>239</v>
      </c>
      <c r="S4" t="s">
        <v>285</v>
      </c>
      <c r="T4" t="s">
        <v>284</v>
      </c>
      <c r="AG4" t="s">
        <v>42</v>
      </c>
      <c r="AH4" t="s">
        <v>1</v>
      </c>
      <c r="AI4" t="s">
        <v>241</v>
      </c>
      <c r="AJ4" t="s">
        <v>282</v>
      </c>
      <c r="AK4" t="s">
        <v>238</v>
      </c>
      <c r="AL4" t="s">
        <v>239</v>
      </c>
      <c r="AM4" t="s">
        <v>285</v>
      </c>
      <c r="AN4" t="s">
        <v>284</v>
      </c>
      <c r="AQ4" s="18" t="s">
        <v>41</v>
      </c>
      <c r="AR4" t="s" vm="1">
        <v>287</v>
      </c>
      <c r="BC4" t="s">
        <v>42</v>
      </c>
      <c r="BD4" t="s">
        <v>1</v>
      </c>
      <c r="BE4" t="s">
        <v>241</v>
      </c>
      <c r="BF4" t="s">
        <v>282</v>
      </c>
      <c r="BG4" t="s">
        <v>238</v>
      </c>
      <c r="BH4" t="s">
        <v>239</v>
      </c>
      <c r="BI4" t="s">
        <v>285</v>
      </c>
      <c r="BJ4" t="s">
        <v>284</v>
      </c>
    </row>
    <row r="5" spans="2:62" x14ac:dyDescent="0.25">
      <c r="B5" s="18" t="s">
        <v>62</v>
      </c>
      <c r="C5" s="18" t="s">
        <v>43</v>
      </c>
      <c r="L5" s="21" t="s">
        <v>44</v>
      </c>
      <c r="M5">
        <f>VLOOKUP($L5,$B$7:$J$1048576,9,FALSE)/7</f>
        <v>42353.857142857145</v>
      </c>
      <c r="N5">
        <f>VLOOKUP($L5,$B$7:$J$1048576,3,FALSE)/7</f>
        <v>6151</v>
      </c>
      <c r="O5">
        <f>VLOOKUP($L5,$B$7:$J$1048576,4,FALSE)/7</f>
        <v>7964.5714285714284</v>
      </c>
      <c r="P5">
        <f>VLOOKUP($L5,$B$7:$J$1048576,5,FALSE)/7</f>
        <v>7325.5714285714284</v>
      </c>
      <c r="Q5">
        <f>VLOOKUP($L5,$B$7:$J$1048576,7,FALSE)/7</f>
        <v>6294.1428571428569</v>
      </c>
      <c r="R5">
        <f>VLOOKUP($L5,$B$7:$J$1048576,8,FALSE)/7</f>
        <v>3688.7142857142858</v>
      </c>
      <c r="S5">
        <f>VLOOKUP($L5,$B$7:$J$1048576,2,FALSE)/7</f>
        <v>4144.7142857142853</v>
      </c>
      <c r="T5">
        <f>VLOOKUP($L5,$B$7:$J$1048576,6,FALSE)/7</f>
        <v>6785.1428571428569</v>
      </c>
      <c r="V5" s="18" t="s">
        <v>63</v>
      </c>
      <c r="W5" s="18" t="s">
        <v>43</v>
      </c>
      <c r="AF5" s="21" t="s">
        <v>44</v>
      </c>
      <c r="AG5">
        <f>VLOOKUP($AF5,$V$7:$AD$1048576,9,FALSE)/7</f>
        <v>15383.714285714286</v>
      </c>
      <c r="AH5">
        <f>VLOOKUP($AF5,$V$7:$AD$1048576,3,FALSE)/7</f>
        <v>2449</v>
      </c>
      <c r="AI5">
        <f>VLOOKUP($AF5,$V$7:$AD$1048576,4,FALSE)/7</f>
        <v>2683.5714285714284</v>
      </c>
      <c r="AJ5">
        <f>VLOOKUP($AF5,$V$7:$AD$1048576,5,FALSE)/7</f>
        <v>2520.4285714285716</v>
      </c>
      <c r="AK5">
        <f>VLOOKUP($AF5,$V$7:$AD$1048576,7,FALSE)/7</f>
        <v>2290.5714285714284</v>
      </c>
      <c r="AL5">
        <f>VLOOKUP($AF5,$V$7:$AD$1048576,8,FALSE)/7</f>
        <v>1308</v>
      </c>
      <c r="AM5">
        <f>VLOOKUP($AF5,$V$7:$AD$1048576,2,FALSE)/7</f>
        <v>1303.7142857142858</v>
      </c>
      <c r="AN5">
        <f>VLOOKUP($AF5,$V$7:$AD$1048576,6,FALSE)/7</f>
        <v>2828.4285714285716</v>
      </c>
      <c r="BB5" s="21" t="s">
        <v>44</v>
      </c>
      <c r="BC5">
        <f>VLOOKUP(BB5, $AQ$8:$AY$1048576, 9, 0)/7</f>
        <v>24440.428571428572</v>
      </c>
      <c r="BD5">
        <f>VLOOKUP(BB5, $AQ$8:$AY$1048576, 3, 0)/7</f>
        <v>3712</v>
      </c>
      <c r="BE5">
        <f>VLOOKUP(BB5, $AQ$8:$AY$1048576, 4, 0)/7</f>
        <v>4438</v>
      </c>
      <c r="BF5">
        <f>VLOOKUP(BB5, $AQ$8:$AY$1048576, 5, 0)/7</f>
        <v>4105.2857142857147</v>
      </c>
      <c r="BG5">
        <f>VLOOKUP(BB5, $AQ$8:$AY$1048576, 7, 0)/7</f>
        <v>3648</v>
      </c>
      <c r="BH5">
        <f>VLOOKUP(BB5, $AQ$8:$AY$1048576, 8, 0)/7</f>
        <v>2162.2857142857142</v>
      </c>
      <c r="BI5">
        <f>VLOOKUP(BB5, $AQ$8:$AY$1048576, 2, 0)/7</f>
        <v>2207.8571428571427</v>
      </c>
      <c r="BJ5">
        <f>VLOOKUP(BB5, $AQ$8:$AY$1048576, 6, 0)/7</f>
        <v>4167</v>
      </c>
    </row>
    <row r="6" spans="2:62" x14ac:dyDescent="0.25">
      <c r="B6" s="18" t="s">
        <v>38</v>
      </c>
      <c r="C6" t="s">
        <v>329</v>
      </c>
      <c r="D6" t="s">
        <v>1</v>
      </c>
      <c r="E6" t="s">
        <v>241</v>
      </c>
      <c r="F6" t="s">
        <v>286</v>
      </c>
      <c r="G6" t="s">
        <v>330</v>
      </c>
      <c r="H6" t="s">
        <v>237</v>
      </c>
      <c r="I6" t="s">
        <v>331</v>
      </c>
      <c r="J6" t="s">
        <v>40</v>
      </c>
      <c r="L6" s="20" t="s">
        <v>45</v>
      </c>
      <c r="M6">
        <f t="shared" ref="M6:M17" si="0">VLOOKUP($L6,$B$7:$J$1048576,9,FALSE)/7</f>
        <v>42015</v>
      </c>
      <c r="N6">
        <f t="shared" ref="N6:N17" si="1">VLOOKUP($L6,$B$7:$J$1048576,3,FALSE)/7</f>
        <v>6055.8571428571431</v>
      </c>
      <c r="O6">
        <f t="shared" ref="O6:O17" si="2">VLOOKUP($L6,$B$7:$J$1048576,4,FALSE)/7</f>
        <v>7779.4285714285716</v>
      </c>
      <c r="P6">
        <f t="shared" ref="P6:P17" si="3">VLOOKUP($L6,$B$7:$J$1048576,5,FALSE)/7</f>
        <v>7399.5714285714284</v>
      </c>
      <c r="Q6">
        <f t="shared" ref="Q6:Q17" si="4">VLOOKUP($L6,$B$7:$J$1048576,7,FALSE)/7</f>
        <v>6231.2857142857147</v>
      </c>
      <c r="R6">
        <f t="shared" ref="R6:R17" si="5">VLOOKUP($L6,$B$7:$J$1048576,8,FALSE)/7</f>
        <v>3662.5714285714284</v>
      </c>
      <c r="S6">
        <f t="shared" ref="S6:S17" si="6">VLOOKUP($L6,$B$7:$J$1048576,2,FALSE)/7</f>
        <v>4158.2857142857147</v>
      </c>
      <c r="T6">
        <f t="shared" ref="T6:T17" si="7">VLOOKUP($L6,$B$7:$J$1048576,6,FALSE)/7</f>
        <v>6728</v>
      </c>
      <c r="V6" s="18" t="s">
        <v>38</v>
      </c>
      <c r="W6" t="s">
        <v>329</v>
      </c>
      <c r="X6" t="s">
        <v>1</v>
      </c>
      <c r="Y6" t="s">
        <v>241</v>
      </c>
      <c r="Z6" t="s">
        <v>286</v>
      </c>
      <c r="AA6" t="s">
        <v>330</v>
      </c>
      <c r="AB6" t="s">
        <v>237</v>
      </c>
      <c r="AC6" t="s">
        <v>331</v>
      </c>
      <c r="AD6" t="s">
        <v>40</v>
      </c>
      <c r="AF6" s="20" t="s">
        <v>45</v>
      </c>
      <c r="AG6">
        <f t="shared" ref="AG6:AG17" si="8">VLOOKUP($AF6,$V$7:$AD$1048576,9,FALSE)/7</f>
        <v>15362</v>
      </c>
      <c r="AH6">
        <f t="shared" ref="AH6:AH17" si="9">VLOOKUP($AF6,$V$7:$AD$1048576,3,FALSE)/7</f>
        <v>2432.1428571428573</v>
      </c>
      <c r="AI6">
        <f t="shared" ref="AI6:AI17" si="10">VLOOKUP($AF6,$V$7:$AD$1048576,4,FALSE)/7</f>
        <v>2689.4285714285716</v>
      </c>
      <c r="AJ6">
        <f t="shared" ref="AJ6:AJ17" si="11">VLOOKUP($AF6,$V$7:$AD$1048576,5,FALSE)/7</f>
        <v>2562.5714285714284</v>
      </c>
      <c r="AK6">
        <f t="shared" ref="AK6:AK17" si="12">VLOOKUP($AF6,$V$7:$AD$1048576,7,FALSE)/7</f>
        <v>2293.5714285714284</v>
      </c>
      <c r="AL6">
        <f t="shared" ref="AL6:AL17" si="13">VLOOKUP($AF6,$V$7:$AD$1048576,8,FALSE)/7</f>
        <v>1317.5714285714287</v>
      </c>
      <c r="AM6">
        <f t="shared" ref="AM6:AM17" si="14">VLOOKUP($AF6,$V$7:$AD$1048576,2,FALSE)/7</f>
        <v>1302.5714285714287</v>
      </c>
      <c r="AN6">
        <f t="shared" ref="AN6:AN17" si="15">VLOOKUP($AF6,$V$7:$AD$1048576,6,FALSE)/7</f>
        <v>2764.1428571428573</v>
      </c>
      <c r="AQ6" s="18" t="s">
        <v>267</v>
      </c>
      <c r="AR6" s="18" t="s">
        <v>43</v>
      </c>
      <c r="BB6" s="72" t="s">
        <v>45</v>
      </c>
      <c r="BC6">
        <f t="shared" ref="BC6:BC17" si="16">VLOOKUP(BB6, $AQ$8:$AY$1048576, 9, 0)/7</f>
        <v>24255</v>
      </c>
      <c r="BD6">
        <f t="shared" ref="BD6:BD17" si="17">VLOOKUP(BB6, $AQ$8:$AY$1048576, 3, 0)/7</f>
        <v>3651.8571428571427</v>
      </c>
      <c r="BE6">
        <f t="shared" ref="BE6:BE17" si="18">VLOOKUP(BB6, $AQ$8:$AY$1048576, 4, 0)/7</f>
        <v>4351.1428571428569</v>
      </c>
      <c r="BF6">
        <f t="shared" ref="BF6:BF17" si="19">VLOOKUP(BB6, $AQ$8:$AY$1048576, 5, 0)/7</f>
        <v>4143.1428571428569</v>
      </c>
      <c r="BG6">
        <f t="shared" ref="BG6:BG17" si="20">VLOOKUP(BB6, $AQ$8:$AY$1048576, 7, 0)/7</f>
        <v>3608.4285714285716</v>
      </c>
      <c r="BH6">
        <f t="shared" ref="BH6:BH17" si="21">VLOOKUP(BB6, $AQ$8:$AY$1048576, 8, 0)/7</f>
        <v>2145.1428571428573</v>
      </c>
      <c r="BI6">
        <f t="shared" ref="BI6:BI17" si="22">VLOOKUP(BB6, $AQ$8:$AY$1048576, 2, 0)/7</f>
        <v>2207.5714285714284</v>
      </c>
      <c r="BJ6">
        <f t="shared" ref="BJ6:BJ17" si="23">VLOOKUP(BB6, $AQ$8:$AY$1048576, 6, 0)/7</f>
        <v>4147.7142857142853</v>
      </c>
    </row>
    <row r="7" spans="2:62" x14ac:dyDescent="0.25">
      <c r="B7" s="19" t="s">
        <v>44</v>
      </c>
      <c r="C7" s="2">
        <v>29013</v>
      </c>
      <c r="D7" s="2">
        <v>43057</v>
      </c>
      <c r="E7" s="2">
        <v>55752</v>
      </c>
      <c r="F7" s="2">
        <v>51279</v>
      </c>
      <c r="G7" s="2">
        <v>47496</v>
      </c>
      <c r="H7" s="2">
        <v>44059</v>
      </c>
      <c r="I7" s="2">
        <v>25821</v>
      </c>
      <c r="J7" s="2">
        <v>296477</v>
      </c>
      <c r="K7" s="2"/>
      <c r="L7" s="20" t="s">
        <v>46</v>
      </c>
      <c r="M7">
        <f t="shared" si="0"/>
        <v>41386.571428571428</v>
      </c>
      <c r="N7">
        <f t="shared" si="1"/>
        <v>6040.8571428571431</v>
      </c>
      <c r="O7">
        <f t="shared" si="2"/>
        <v>7693.2857142857147</v>
      </c>
      <c r="P7">
        <f t="shared" si="3"/>
        <v>7226.2857142857147</v>
      </c>
      <c r="Q7">
        <f t="shared" si="4"/>
        <v>6158.7142857142853</v>
      </c>
      <c r="R7">
        <f t="shared" si="5"/>
        <v>3569.1428571428573</v>
      </c>
      <c r="S7">
        <f t="shared" si="6"/>
        <v>4104.8571428571431</v>
      </c>
      <c r="T7">
        <f t="shared" si="7"/>
        <v>6593.4285714285716</v>
      </c>
      <c r="V7" s="19" t="s">
        <v>44</v>
      </c>
      <c r="W7" s="2">
        <v>9126</v>
      </c>
      <c r="X7" s="2">
        <v>17143</v>
      </c>
      <c r="Y7" s="2">
        <v>18785</v>
      </c>
      <c r="Z7" s="2">
        <v>17643</v>
      </c>
      <c r="AA7" s="2">
        <v>19799</v>
      </c>
      <c r="AB7" s="2">
        <v>16034</v>
      </c>
      <c r="AC7" s="2">
        <v>9156</v>
      </c>
      <c r="AD7" s="2">
        <v>107686</v>
      </c>
      <c r="AE7" s="2"/>
      <c r="AF7" s="20" t="s">
        <v>46</v>
      </c>
      <c r="AG7">
        <f t="shared" si="8"/>
        <v>15044.857142857143</v>
      </c>
      <c r="AH7">
        <f t="shared" si="9"/>
        <v>2424.1428571428573</v>
      </c>
      <c r="AI7">
        <f t="shared" si="10"/>
        <v>2649.2857142857142</v>
      </c>
      <c r="AJ7">
        <f t="shared" si="11"/>
        <v>2515.1428571428573</v>
      </c>
      <c r="AK7">
        <f t="shared" si="12"/>
        <v>2236.8571428571427</v>
      </c>
      <c r="AL7">
        <f t="shared" si="13"/>
        <v>1262.5714285714287</v>
      </c>
      <c r="AM7">
        <f t="shared" si="14"/>
        <v>1273.1428571428571</v>
      </c>
      <c r="AN7">
        <f t="shared" si="15"/>
        <v>2683.7142857142858</v>
      </c>
      <c r="AQ7" s="18" t="s">
        <v>38</v>
      </c>
      <c r="AR7" t="s">
        <v>329</v>
      </c>
      <c r="AS7" t="s">
        <v>1</v>
      </c>
      <c r="AT7" t="s">
        <v>241</v>
      </c>
      <c r="AU7" t="s">
        <v>286</v>
      </c>
      <c r="AV7" t="s">
        <v>330</v>
      </c>
      <c r="AW7" t="s">
        <v>237</v>
      </c>
      <c r="AX7" t="s">
        <v>331</v>
      </c>
      <c r="AY7" t="s">
        <v>40</v>
      </c>
      <c r="BB7" s="73" t="s">
        <v>46</v>
      </c>
      <c r="BC7">
        <f t="shared" si="16"/>
        <v>23700.571428571428</v>
      </c>
      <c r="BD7">
        <f t="shared" si="17"/>
        <v>3624.5714285714284</v>
      </c>
      <c r="BE7">
        <f t="shared" si="18"/>
        <v>4226.2857142857147</v>
      </c>
      <c r="BF7">
        <f t="shared" si="19"/>
        <v>4105.5714285714284</v>
      </c>
      <c r="BG7">
        <f t="shared" si="20"/>
        <v>3528.1428571428573</v>
      </c>
      <c r="BH7">
        <f t="shared" si="21"/>
        <v>2044.4285714285713</v>
      </c>
      <c r="BI7">
        <f t="shared" si="22"/>
        <v>2171.2857142857142</v>
      </c>
      <c r="BJ7">
        <f t="shared" si="23"/>
        <v>4000.2857142857142</v>
      </c>
    </row>
    <row r="8" spans="2:62" x14ac:dyDescent="0.25">
      <c r="B8" s="19" t="s">
        <v>53</v>
      </c>
      <c r="C8" s="2">
        <v>30940</v>
      </c>
      <c r="D8" s="2">
        <v>44132</v>
      </c>
      <c r="E8" s="2">
        <v>57615</v>
      </c>
      <c r="F8" s="2">
        <v>52626</v>
      </c>
      <c r="G8" s="2">
        <v>48526</v>
      </c>
      <c r="H8" s="2">
        <v>44480</v>
      </c>
      <c r="I8" s="2">
        <v>27320</v>
      </c>
      <c r="J8" s="2">
        <v>305639</v>
      </c>
      <c r="K8" s="2"/>
      <c r="L8" s="20" t="s">
        <v>47</v>
      </c>
      <c r="M8">
        <f t="shared" si="0"/>
        <v>40775.571428571428</v>
      </c>
      <c r="N8">
        <f t="shared" si="1"/>
        <v>5957</v>
      </c>
      <c r="O8">
        <f>VLOOKUP($L8,$B$7:$J$1048576,4,FALSE)/7</f>
        <v>7714</v>
      </c>
      <c r="P8">
        <f t="shared" si="3"/>
        <v>7000.4285714285716</v>
      </c>
      <c r="Q8">
        <f t="shared" si="4"/>
        <v>6062.8571428571431</v>
      </c>
      <c r="R8">
        <f t="shared" si="5"/>
        <v>3564</v>
      </c>
      <c r="S8">
        <f t="shared" si="6"/>
        <v>4004</v>
      </c>
      <c r="T8">
        <f t="shared" si="7"/>
        <v>6473.2857142857147</v>
      </c>
      <c r="V8" s="19" t="s">
        <v>53</v>
      </c>
      <c r="W8" s="2">
        <v>10535</v>
      </c>
      <c r="X8" s="2">
        <v>17370</v>
      </c>
      <c r="Y8" s="2">
        <v>19971</v>
      </c>
      <c r="Z8" s="2">
        <v>19589</v>
      </c>
      <c r="AA8" s="2">
        <v>20746</v>
      </c>
      <c r="AB8" s="2">
        <v>16447</v>
      </c>
      <c r="AC8" s="2">
        <v>10133</v>
      </c>
      <c r="AD8" s="2">
        <v>114791</v>
      </c>
      <c r="AE8" s="2"/>
      <c r="AF8" s="20" t="s">
        <v>47</v>
      </c>
      <c r="AG8">
        <f t="shared" si="8"/>
        <v>14660.571428571429</v>
      </c>
      <c r="AH8">
        <f t="shared" si="9"/>
        <v>2320.5714285714284</v>
      </c>
      <c r="AI8">
        <f t="shared" si="10"/>
        <v>2520.7142857142858</v>
      </c>
      <c r="AJ8">
        <f t="shared" si="11"/>
        <v>2474.7142857142858</v>
      </c>
      <c r="AK8">
        <f t="shared" si="12"/>
        <v>2200.2857142857142</v>
      </c>
      <c r="AL8">
        <f t="shared" si="13"/>
        <v>1237.1428571428571</v>
      </c>
      <c r="AM8">
        <f t="shared" si="14"/>
        <v>1264.8571428571429</v>
      </c>
      <c r="AN8">
        <f t="shared" si="15"/>
        <v>2642.2857142857142</v>
      </c>
      <c r="AQ8" s="19" t="s">
        <v>44</v>
      </c>
      <c r="AR8" s="2">
        <v>15455</v>
      </c>
      <c r="AS8" s="2">
        <v>25984</v>
      </c>
      <c r="AT8" s="2">
        <v>31066</v>
      </c>
      <c r="AU8" s="2">
        <v>28737</v>
      </c>
      <c r="AV8" s="2">
        <v>29169</v>
      </c>
      <c r="AW8" s="2">
        <v>25536</v>
      </c>
      <c r="AX8" s="2">
        <v>15136</v>
      </c>
      <c r="AY8" s="2">
        <v>171083</v>
      </c>
      <c r="AZ8" s="2"/>
      <c r="BB8" s="73" t="s">
        <v>47</v>
      </c>
      <c r="BC8">
        <f t="shared" si="16"/>
        <v>23240.142857142859</v>
      </c>
      <c r="BD8">
        <f t="shared" si="17"/>
        <v>3530.5714285714284</v>
      </c>
      <c r="BE8">
        <f t="shared" si="18"/>
        <v>4163.2857142857147</v>
      </c>
      <c r="BF8">
        <f t="shared" si="19"/>
        <v>3924.1428571428573</v>
      </c>
      <c r="BG8">
        <f t="shared" si="20"/>
        <v>3500.4285714285716</v>
      </c>
      <c r="BH8">
        <f t="shared" si="21"/>
        <v>2029.2857142857142</v>
      </c>
      <c r="BI8">
        <f t="shared" si="22"/>
        <v>2136.7142857142858</v>
      </c>
      <c r="BJ8">
        <f t="shared" si="23"/>
        <v>3955.7142857142858</v>
      </c>
    </row>
    <row r="9" spans="2:62" x14ac:dyDescent="0.25">
      <c r="B9" s="19" t="s">
        <v>54</v>
      </c>
      <c r="C9" s="2">
        <v>30614</v>
      </c>
      <c r="D9" s="2">
        <v>44291</v>
      </c>
      <c r="E9" s="2">
        <v>57113</v>
      </c>
      <c r="F9" s="2">
        <v>51576</v>
      </c>
      <c r="G9" s="2">
        <v>48526</v>
      </c>
      <c r="H9" s="2">
        <v>45350</v>
      </c>
      <c r="I9" s="2">
        <v>27296</v>
      </c>
      <c r="J9" s="2">
        <v>304766</v>
      </c>
      <c r="K9" s="2"/>
      <c r="L9" s="20" t="s">
        <v>48</v>
      </c>
      <c r="M9">
        <f t="shared" si="0"/>
        <v>44293.857142857145</v>
      </c>
      <c r="N9">
        <f t="shared" si="1"/>
        <v>6375.7142857142853</v>
      </c>
      <c r="O9">
        <f t="shared" si="2"/>
        <v>8234</v>
      </c>
      <c r="P9">
        <f t="shared" si="3"/>
        <v>7639</v>
      </c>
      <c r="Q9">
        <f t="shared" si="4"/>
        <v>6632</v>
      </c>
      <c r="R9">
        <f>VLOOKUP($L9,$B$7:$J$1048576,8,FALSE)/7</f>
        <v>3923.8571428571427</v>
      </c>
      <c r="S9">
        <f t="shared" si="6"/>
        <v>4387.2857142857147</v>
      </c>
      <c r="T9">
        <f t="shared" si="7"/>
        <v>7102</v>
      </c>
      <c r="V9" s="19" t="s">
        <v>54</v>
      </c>
      <c r="W9" s="2">
        <v>10494</v>
      </c>
      <c r="X9" s="2">
        <v>17311</v>
      </c>
      <c r="Y9" s="2">
        <v>20184</v>
      </c>
      <c r="Z9" s="2">
        <v>18827</v>
      </c>
      <c r="AA9" s="2">
        <v>21120</v>
      </c>
      <c r="AB9" s="2">
        <v>16926</v>
      </c>
      <c r="AC9" s="2">
        <v>10324</v>
      </c>
      <c r="AD9" s="2">
        <v>115186</v>
      </c>
      <c r="AE9" s="2"/>
      <c r="AF9" s="20" t="s">
        <v>48</v>
      </c>
      <c r="AG9">
        <f t="shared" si="8"/>
        <v>16412.857142857141</v>
      </c>
      <c r="AH9">
        <f t="shared" si="9"/>
        <v>2560.2857142857142</v>
      </c>
      <c r="AI9">
        <f t="shared" si="10"/>
        <v>2823.4285714285716</v>
      </c>
      <c r="AJ9">
        <f t="shared" si="11"/>
        <v>2789.1428571428573</v>
      </c>
      <c r="AK9">
        <f t="shared" si="12"/>
        <v>2497.1428571428573</v>
      </c>
      <c r="AL9">
        <f t="shared" si="13"/>
        <v>1369.8571428571429</v>
      </c>
      <c r="AM9">
        <f t="shared" si="14"/>
        <v>1416.8571428571429</v>
      </c>
      <c r="AN9">
        <f t="shared" si="15"/>
        <v>2956.1428571428573</v>
      </c>
      <c r="AQ9" s="19" t="s">
        <v>53</v>
      </c>
      <c r="AR9" s="2">
        <v>17107</v>
      </c>
      <c r="AS9" s="2">
        <v>26246</v>
      </c>
      <c r="AT9" s="2">
        <v>32215</v>
      </c>
      <c r="AU9" s="2">
        <v>30170</v>
      </c>
      <c r="AV9" s="2">
        <v>30490</v>
      </c>
      <c r="AW9" s="2">
        <v>26086</v>
      </c>
      <c r="AX9" s="2">
        <v>16165</v>
      </c>
      <c r="AY9" s="2">
        <v>178479</v>
      </c>
      <c r="AZ9" s="2"/>
      <c r="BB9" s="73" t="s">
        <v>48</v>
      </c>
      <c r="BC9">
        <f t="shared" si="16"/>
        <v>26075.857142857141</v>
      </c>
      <c r="BD9">
        <f t="shared" si="17"/>
        <v>3895.5714285714284</v>
      </c>
      <c r="BE9">
        <f t="shared" si="18"/>
        <v>4670</v>
      </c>
      <c r="BF9">
        <f t="shared" si="19"/>
        <v>4455.7142857142853</v>
      </c>
      <c r="BG9">
        <f t="shared" si="20"/>
        <v>3963</v>
      </c>
      <c r="BH9">
        <f t="shared" si="21"/>
        <v>2287.7142857142858</v>
      </c>
      <c r="BI9">
        <f t="shared" si="22"/>
        <v>2398.8571428571427</v>
      </c>
      <c r="BJ9">
        <f t="shared" si="23"/>
        <v>4405</v>
      </c>
    </row>
    <row r="10" spans="2:62" x14ac:dyDescent="0.25">
      <c r="B10" s="19" t="s">
        <v>55</v>
      </c>
      <c r="C10" s="2">
        <v>30929</v>
      </c>
      <c r="D10" s="2">
        <v>43600</v>
      </c>
      <c r="E10" s="2">
        <v>56874</v>
      </c>
      <c r="F10" s="2">
        <v>52252</v>
      </c>
      <c r="G10" s="2">
        <v>48569</v>
      </c>
      <c r="H10" s="2">
        <v>44495</v>
      </c>
      <c r="I10" s="2">
        <v>27198</v>
      </c>
      <c r="J10" s="2">
        <v>303917</v>
      </c>
      <c r="K10" s="2"/>
      <c r="L10" s="20" t="s">
        <v>49</v>
      </c>
      <c r="M10">
        <f t="shared" si="0"/>
        <v>44755.714285714283</v>
      </c>
      <c r="N10">
        <f t="shared" si="1"/>
        <v>6432.5714285714284</v>
      </c>
      <c r="O10">
        <f t="shared" si="2"/>
        <v>8513.7142857142862</v>
      </c>
      <c r="P10">
        <f t="shared" si="3"/>
        <v>7762.4285714285716</v>
      </c>
      <c r="Q10">
        <f t="shared" si="4"/>
        <v>6614.2857142857147</v>
      </c>
      <c r="R10">
        <f t="shared" si="5"/>
        <v>3918.2857142857142</v>
      </c>
      <c r="S10">
        <f t="shared" si="6"/>
        <v>4428.4285714285716</v>
      </c>
      <c r="T10">
        <f t="shared" si="7"/>
        <v>7086</v>
      </c>
      <c r="V10" s="19" t="s">
        <v>55</v>
      </c>
      <c r="W10" s="2">
        <v>10479</v>
      </c>
      <c r="X10" s="2">
        <v>17457</v>
      </c>
      <c r="Y10" s="2">
        <v>20137</v>
      </c>
      <c r="Z10" s="2">
        <v>18523</v>
      </c>
      <c r="AA10" s="2">
        <v>21141</v>
      </c>
      <c r="AB10" s="2">
        <v>16510</v>
      </c>
      <c r="AC10" s="2">
        <v>10226</v>
      </c>
      <c r="AD10" s="2">
        <v>114473</v>
      </c>
      <c r="AE10" s="2"/>
      <c r="AF10" s="20" t="s">
        <v>49</v>
      </c>
      <c r="AG10">
        <f t="shared" si="8"/>
        <v>17087</v>
      </c>
      <c r="AH10">
        <f t="shared" si="9"/>
        <v>2628.7142857142858</v>
      </c>
      <c r="AI10">
        <f t="shared" si="10"/>
        <v>3039.2857142857142</v>
      </c>
      <c r="AJ10">
        <f t="shared" si="11"/>
        <v>2916.7142857142858</v>
      </c>
      <c r="AK10">
        <f t="shared" si="12"/>
        <v>2583.5714285714284</v>
      </c>
      <c r="AL10">
        <f t="shared" si="13"/>
        <v>1398</v>
      </c>
      <c r="AM10">
        <f t="shared" si="14"/>
        <v>1446.2857142857142</v>
      </c>
      <c r="AN10">
        <f t="shared" si="15"/>
        <v>3074.4285714285716</v>
      </c>
      <c r="AQ10" s="19" t="s">
        <v>54</v>
      </c>
      <c r="AR10" s="2">
        <v>17114</v>
      </c>
      <c r="AS10" s="2">
        <v>26640</v>
      </c>
      <c r="AT10" s="2">
        <v>32384</v>
      </c>
      <c r="AU10" s="2">
        <v>29729</v>
      </c>
      <c r="AV10" s="2">
        <v>31086</v>
      </c>
      <c r="AW10" s="2">
        <v>26413</v>
      </c>
      <c r="AX10" s="2">
        <v>16112</v>
      </c>
      <c r="AY10" s="2">
        <v>179478</v>
      </c>
      <c r="AZ10" s="2"/>
      <c r="BB10" s="73" t="s">
        <v>49</v>
      </c>
      <c r="BC10">
        <f t="shared" si="16"/>
        <v>26588.571428571428</v>
      </c>
      <c r="BD10">
        <f t="shared" si="17"/>
        <v>3947.7142857142858</v>
      </c>
      <c r="BE10">
        <f t="shared" si="18"/>
        <v>4855.4285714285716</v>
      </c>
      <c r="BF10">
        <f t="shared" si="19"/>
        <v>4506.4285714285716</v>
      </c>
      <c r="BG10">
        <f t="shared" si="20"/>
        <v>3972.1428571428573</v>
      </c>
      <c r="BH10">
        <f t="shared" si="21"/>
        <v>2327.5714285714284</v>
      </c>
      <c r="BI10">
        <f t="shared" si="22"/>
        <v>2441.1428571428573</v>
      </c>
      <c r="BJ10">
        <f t="shared" si="23"/>
        <v>4538.1428571428569</v>
      </c>
    </row>
    <row r="11" spans="2:62" x14ac:dyDescent="0.25">
      <c r="B11" s="19" t="s">
        <v>56</v>
      </c>
      <c r="C11" s="2">
        <v>31000</v>
      </c>
      <c r="D11" s="2">
        <v>41510</v>
      </c>
      <c r="E11" s="2">
        <v>57384</v>
      </c>
      <c r="F11" s="2">
        <v>51636</v>
      </c>
      <c r="G11" s="2">
        <v>48378</v>
      </c>
      <c r="H11" s="2">
        <v>45211</v>
      </c>
      <c r="I11" s="2">
        <v>26907</v>
      </c>
      <c r="J11" s="2">
        <v>302026</v>
      </c>
      <c r="K11" s="2"/>
      <c r="L11" s="20" t="s">
        <v>50</v>
      </c>
      <c r="M11">
        <f t="shared" si="0"/>
        <v>44463.285714285717</v>
      </c>
      <c r="N11">
        <f t="shared" si="1"/>
        <v>6446.5714285714284</v>
      </c>
      <c r="O11">
        <f t="shared" si="2"/>
        <v>8335.2857142857138</v>
      </c>
      <c r="P11">
        <f t="shared" si="3"/>
        <v>7802.4285714285716</v>
      </c>
      <c r="Q11">
        <f t="shared" si="4"/>
        <v>6595.2857142857147</v>
      </c>
      <c r="R11">
        <f t="shared" si="5"/>
        <v>3907.7142857142858</v>
      </c>
      <c r="S11">
        <f t="shared" si="6"/>
        <v>4436.4285714285716</v>
      </c>
      <c r="T11">
        <f t="shared" si="7"/>
        <v>6939.5714285714284</v>
      </c>
      <c r="V11" s="19" t="s">
        <v>56</v>
      </c>
      <c r="W11" s="2">
        <v>10358</v>
      </c>
      <c r="X11" s="2">
        <v>16836</v>
      </c>
      <c r="Y11" s="2">
        <v>19872</v>
      </c>
      <c r="Z11" s="2">
        <v>18646</v>
      </c>
      <c r="AA11" s="2">
        <v>20855</v>
      </c>
      <c r="AB11" s="2">
        <v>16637</v>
      </c>
      <c r="AC11" s="2">
        <v>10229</v>
      </c>
      <c r="AD11" s="2">
        <v>113433</v>
      </c>
      <c r="AE11" s="2"/>
      <c r="AF11" s="20" t="s">
        <v>50</v>
      </c>
      <c r="AG11">
        <f t="shared" si="8"/>
        <v>16828.142857142859</v>
      </c>
      <c r="AH11">
        <f t="shared" si="9"/>
        <v>2556.4285714285716</v>
      </c>
      <c r="AI11">
        <f t="shared" si="10"/>
        <v>2967.5714285714284</v>
      </c>
      <c r="AJ11">
        <f t="shared" si="11"/>
        <v>2882.4285714285716</v>
      </c>
      <c r="AK11">
        <f t="shared" si="12"/>
        <v>2513.4285714285716</v>
      </c>
      <c r="AL11">
        <f t="shared" si="13"/>
        <v>1442</v>
      </c>
      <c r="AM11">
        <f t="shared" si="14"/>
        <v>1432.8571428571429</v>
      </c>
      <c r="AN11">
        <f t="shared" si="15"/>
        <v>3033.4285714285716</v>
      </c>
      <c r="AQ11" s="19" t="s">
        <v>55</v>
      </c>
      <c r="AR11" s="2">
        <v>17023</v>
      </c>
      <c r="AS11" s="2">
        <v>26269</v>
      </c>
      <c r="AT11" s="2">
        <v>32105</v>
      </c>
      <c r="AU11" s="2">
        <v>29408</v>
      </c>
      <c r="AV11" s="2">
        <v>30616</v>
      </c>
      <c r="AW11" s="2">
        <v>26068</v>
      </c>
      <c r="AX11" s="2">
        <v>16354</v>
      </c>
      <c r="AY11" s="2">
        <v>177843</v>
      </c>
      <c r="AZ11" s="2"/>
      <c r="BB11" s="73" t="s">
        <v>50</v>
      </c>
      <c r="BC11">
        <f t="shared" si="16"/>
        <v>25931.428571428572</v>
      </c>
      <c r="BD11">
        <f t="shared" si="17"/>
        <v>3854.2857142857142</v>
      </c>
      <c r="BE11">
        <f t="shared" si="18"/>
        <v>4688.1428571428569</v>
      </c>
      <c r="BF11">
        <f t="shared" si="19"/>
        <v>4496.4285714285716</v>
      </c>
      <c r="BG11">
        <f t="shared" si="20"/>
        <v>3864</v>
      </c>
      <c r="BH11">
        <f t="shared" si="21"/>
        <v>2300</v>
      </c>
      <c r="BI11">
        <f t="shared" si="22"/>
        <v>2390</v>
      </c>
      <c r="BJ11">
        <f t="shared" si="23"/>
        <v>4338.5714285714284</v>
      </c>
    </row>
    <row r="12" spans="2:62" x14ac:dyDescent="0.25">
      <c r="B12" s="19" t="s">
        <v>45</v>
      </c>
      <c r="C12" s="2">
        <v>29108</v>
      </c>
      <c r="D12" s="2">
        <v>42391</v>
      </c>
      <c r="E12" s="2">
        <v>54456</v>
      </c>
      <c r="F12" s="2">
        <v>51797</v>
      </c>
      <c r="G12" s="2">
        <v>47096</v>
      </c>
      <c r="H12" s="2">
        <v>43619</v>
      </c>
      <c r="I12" s="2">
        <v>25638</v>
      </c>
      <c r="J12" s="2">
        <v>294105</v>
      </c>
      <c r="K12" s="2"/>
      <c r="L12" s="20" t="s">
        <v>51</v>
      </c>
      <c r="M12">
        <f t="shared" si="0"/>
        <v>44319</v>
      </c>
      <c r="N12">
        <f t="shared" si="1"/>
        <v>6367</v>
      </c>
      <c r="O12">
        <f t="shared" si="2"/>
        <v>8233.2857142857138</v>
      </c>
      <c r="P12">
        <f t="shared" si="3"/>
        <v>7695</v>
      </c>
      <c r="Q12">
        <f t="shared" si="4"/>
        <v>6578</v>
      </c>
      <c r="R12">
        <f t="shared" si="5"/>
        <v>3913.5714285714284</v>
      </c>
      <c r="S12">
        <f t="shared" si="6"/>
        <v>4482.1428571428569</v>
      </c>
      <c r="T12">
        <f t="shared" si="7"/>
        <v>7050</v>
      </c>
      <c r="V12" s="19" t="s">
        <v>45</v>
      </c>
      <c r="W12" s="2">
        <v>9118</v>
      </c>
      <c r="X12" s="2">
        <v>17025</v>
      </c>
      <c r="Y12" s="2">
        <v>18826</v>
      </c>
      <c r="Z12" s="2">
        <v>17938</v>
      </c>
      <c r="AA12" s="2">
        <v>19349</v>
      </c>
      <c r="AB12" s="2">
        <v>16055</v>
      </c>
      <c r="AC12" s="2">
        <v>9223</v>
      </c>
      <c r="AD12" s="2">
        <v>107534</v>
      </c>
      <c r="AE12" s="2"/>
      <c r="AF12" s="20" t="s">
        <v>51</v>
      </c>
      <c r="AG12">
        <f t="shared" si="8"/>
        <v>16632.428571428572</v>
      </c>
      <c r="AH12">
        <f t="shared" si="9"/>
        <v>2511</v>
      </c>
      <c r="AI12">
        <f t="shared" si="10"/>
        <v>2852</v>
      </c>
      <c r="AJ12">
        <f t="shared" si="11"/>
        <v>2880.5714285714284</v>
      </c>
      <c r="AK12">
        <f t="shared" si="12"/>
        <v>2480.2857142857142</v>
      </c>
      <c r="AL12">
        <f t="shared" si="13"/>
        <v>1446.8571428571429</v>
      </c>
      <c r="AM12">
        <f t="shared" si="14"/>
        <v>1440.2857142857142</v>
      </c>
      <c r="AN12">
        <f t="shared" si="15"/>
        <v>3021.4285714285716</v>
      </c>
      <c r="AQ12" s="19" t="s">
        <v>56</v>
      </c>
      <c r="AR12" s="2">
        <v>17189</v>
      </c>
      <c r="AS12" s="2">
        <v>25342</v>
      </c>
      <c r="AT12" s="2">
        <v>32087</v>
      </c>
      <c r="AU12" s="2">
        <v>29921</v>
      </c>
      <c r="AV12" s="2">
        <v>30310</v>
      </c>
      <c r="AW12" s="2">
        <v>26273</v>
      </c>
      <c r="AX12" s="2">
        <v>16240</v>
      </c>
      <c r="AY12" s="2">
        <v>177362</v>
      </c>
      <c r="AZ12" s="2"/>
      <c r="BB12" s="73" t="s">
        <v>51</v>
      </c>
      <c r="BC12">
        <f t="shared" si="16"/>
        <v>26034.571428571428</v>
      </c>
      <c r="BD12">
        <f t="shared" si="17"/>
        <v>3821.8571428571427</v>
      </c>
      <c r="BE12">
        <f t="shared" si="18"/>
        <v>4618.8571428571431</v>
      </c>
      <c r="BF12">
        <f t="shared" si="19"/>
        <v>4497</v>
      </c>
      <c r="BG12">
        <f t="shared" si="20"/>
        <v>3891.2857142857142</v>
      </c>
      <c r="BH12">
        <f t="shared" si="21"/>
        <v>2348.1428571428573</v>
      </c>
      <c r="BI12">
        <f t="shared" si="22"/>
        <v>2449.1428571428573</v>
      </c>
      <c r="BJ12">
        <f t="shared" si="23"/>
        <v>4408.2857142857147</v>
      </c>
    </row>
    <row r="13" spans="2:62" x14ac:dyDescent="0.25">
      <c r="B13" s="19" t="s">
        <v>46</v>
      </c>
      <c r="C13" s="2">
        <v>28734</v>
      </c>
      <c r="D13" s="2">
        <v>42286</v>
      </c>
      <c r="E13" s="2">
        <v>53853</v>
      </c>
      <c r="F13" s="2">
        <v>50584</v>
      </c>
      <c r="G13" s="2">
        <v>46154</v>
      </c>
      <c r="H13" s="2">
        <v>43111</v>
      </c>
      <c r="I13" s="2">
        <v>24984</v>
      </c>
      <c r="J13" s="2">
        <v>289706</v>
      </c>
      <c r="K13" s="2"/>
      <c r="L13" s="20" t="s">
        <v>52</v>
      </c>
      <c r="M13">
        <f t="shared" si="0"/>
        <v>43811.857142857145</v>
      </c>
      <c r="N13">
        <f t="shared" si="1"/>
        <v>6360.4285714285716</v>
      </c>
      <c r="O13">
        <f t="shared" si="2"/>
        <v>7999.7142857142853</v>
      </c>
      <c r="P13">
        <f t="shared" si="3"/>
        <v>7588.2857142857147</v>
      </c>
      <c r="Q13">
        <f t="shared" si="4"/>
        <v>6577.1428571428569</v>
      </c>
      <c r="R13">
        <f t="shared" si="5"/>
        <v>3907</v>
      </c>
      <c r="S13">
        <f t="shared" si="6"/>
        <v>4394</v>
      </c>
      <c r="T13">
        <f t="shared" si="7"/>
        <v>6985.2857142857147</v>
      </c>
      <c r="V13" s="19" t="s">
        <v>46</v>
      </c>
      <c r="W13" s="2">
        <v>8912</v>
      </c>
      <c r="X13" s="2">
        <v>16969</v>
      </c>
      <c r="Y13" s="2">
        <v>18545</v>
      </c>
      <c r="Z13" s="2">
        <v>17606</v>
      </c>
      <c r="AA13" s="2">
        <v>18786</v>
      </c>
      <c r="AB13" s="2">
        <v>15658</v>
      </c>
      <c r="AC13" s="2">
        <v>8838</v>
      </c>
      <c r="AD13" s="2">
        <v>105314</v>
      </c>
      <c r="AE13" s="2"/>
      <c r="AF13" s="20" t="s">
        <v>52</v>
      </c>
      <c r="AG13">
        <f t="shared" si="8"/>
        <v>16630.857142857141</v>
      </c>
      <c r="AH13">
        <f t="shared" si="9"/>
        <v>2550</v>
      </c>
      <c r="AI13">
        <f t="shared" si="10"/>
        <v>2776.7142857142858</v>
      </c>
      <c r="AJ13">
        <f t="shared" si="11"/>
        <v>2886.2857142857142</v>
      </c>
      <c r="AK13">
        <f t="shared" si="12"/>
        <v>2492.7142857142858</v>
      </c>
      <c r="AL13">
        <f t="shared" si="13"/>
        <v>1456.7142857142858</v>
      </c>
      <c r="AM13">
        <f t="shared" si="14"/>
        <v>1451.5714285714287</v>
      </c>
      <c r="AN13">
        <f t="shared" si="15"/>
        <v>3016.8571428571427</v>
      </c>
      <c r="AQ13" s="19" t="s">
        <v>45</v>
      </c>
      <c r="AR13" s="2">
        <v>15453</v>
      </c>
      <c r="AS13" s="2">
        <v>25563</v>
      </c>
      <c r="AT13" s="2">
        <v>30458</v>
      </c>
      <c r="AU13" s="2">
        <v>29002</v>
      </c>
      <c r="AV13" s="2">
        <v>29034</v>
      </c>
      <c r="AW13" s="2">
        <v>25259</v>
      </c>
      <c r="AX13" s="2">
        <v>15016</v>
      </c>
      <c r="AY13" s="2">
        <v>169785</v>
      </c>
      <c r="AZ13" s="2"/>
      <c r="BB13" s="73" t="s">
        <v>52</v>
      </c>
      <c r="BC13">
        <f t="shared" si="16"/>
        <v>25894.285714285714</v>
      </c>
      <c r="BD13">
        <f t="shared" si="17"/>
        <v>3871.4285714285716</v>
      </c>
      <c r="BE13">
        <f t="shared" si="18"/>
        <v>4497.5714285714284</v>
      </c>
      <c r="BF13">
        <f t="shared" si="19"/>
        <v>4448.1428571428569</v>
      </c>
      <c r="BG13">
        <f t="shared" si="20"/>
        <v>3873.8571428571427</v>
      </c>
      <c r="BH13">
        <f t="shared" si="21"/>
        <v>2353.1428571428573</v>
      </c>
      <c r="BI13">
        <f t="shared" si="22"/>
        <v>2441.7142857142858</v>
      </c>
      <c r="BJ13">
        <f t="shared" si="23"/>
        <v>4408.4285714285716</v>
      </c>
    </row>
    <row r="14" spans="2:62" x14ac:dyDescent="0.25">
      <c r="B14" s="19" t="s">
        <v>47</v>
      </c>
      <c r="C14" s="2">
        <v>28028</v>
      </c>
      <c r="D14" s="2">
        <v>41699</v>
      </c>
      <c r="E14" s="2">
        <v>53998</v>
      </c>
      <c r="F14" s="2">
        <v>49003</v>
      </c>
      <c r="G14" s="2">
        <v>45313</v>
      </c>
      <c r="H14" s="2">
        <v>42440</v>
      </c>
      <c r="I14" s="2">
        <v>24948</v>
      </c>
      <c r="J14" s="2">
        <v>285429</v>
      </c>
      <c r="K14" s="2"/>
      <c r="L14" s="20" t="s">
        <v>53</v>
      </c>
      <c r="M14">
        <f t="shared" si="0"/>
        <v>43662.714285714283</v>
      </c>
      <c r="N14">
        <f t="shared" si="1"/>
        <v>6304.5714285714284</v>
      </c>
      <c r="O14">
        <f t="shared" si="2"/>
        <v>8230.7142857142862</v>
      </c>
      <c r="P14">
        <f t="shared" si="3"/>
        <v>7518</v>
      </c>
      <c r="Q14">
        <f t="shared" si="4"/>
        <v>6354.2857142857147</v>
      </c>
      <c r="R14">
        <f t="shared" si="5"/>
        <v>3902.8571428571427</v>
      </c>
      <c r="S14">
        <f t="shared" si="6"/>
        <v>4420</v>
      </c>
      <c r="T14">
        <f t="shared" si="7"/>
        <v>6932.2857142857147</v>
      </c>
      <c r="V14" s="19" t="s">
        <v>47</v>
      </c>
      <c r="W14" s="2">
        <v>8854</v>
      </c>
      <c r="X14" s="2">
        <v>16244</v>
      </c>
      <c r="Y14" s="2">
        <v>17645</v>
      </c>
      <c r="Z14" s="2">
        <v>17323</v>
      </c>
      <c r="AA14" s="2">
        <v>18496</v>
      </c>
      <c r="AB14" s="2">
        <v>15402</v>
      </c>
      <c r="AC14" s="2">
        <v>8660</v>
      </c>
      <c r="AD14" s="2">
        <v>102624</v>
      </c>
      <c r="AE14" s="2"/>
      <c r="AF14" s="20" t="s">
        <v>53</v>
      </c>
      <c r="AG14">
        <f t="shared" si="8"/>
        <v>16398.714285714286</v>
      </c>
      <c r="AH14">
        <f t="shared" si="9"/>
        <v>2481.4285714285716</v>
      </c>
      <c r="AI14">
        <f t="shared" si="10"/>
        <v>2853</v>
      </c>
      <c r="AJ14">
        <f t="shared" si="11"/>
        <v>2798.4285714285716</v>
      </c>
      <c r="AK14">
        <f t="shared" si="12"/>
        <v>2349.5714285714284</v>
      </c>
      <c r="AL14">
        <f t="shared" si="13"/>
        <v>1447.5714285714287</v>
      </c>
      <c r="AM14">
        <f t="shared" si="14"/>
        <v>1505</v>
      </c>
      <c r="AN14">
        <f t="shared" si="15"/>
        <v>2963.7142857142858</v>
      </c>
      <c r="AQ14" s="19" t="s">
        <v>46</v>
      </c>
      <c r="AR14" s="2">
        <v>15199</v>
      </c>
      <c r="AS14" s="2">
        <v>25372</v>
      </c>
      <c r="AT14" s="2">
        <v>29584</v>
      </c>
      <c r="AU14" s="2">
        <v>28739</v>
      </c>
      <c r="AV14" s="2">
        <v>28002</v>
      </c>
      <c r="AW14" s="2">
        <v>24697</v>
      </c>
      <c r="AX14" s="2">
        <v>14311</v>
      </c>
      <c r="AY14" s="2">
        <v>165904</v>
      </c>
      <c r="AZ14" s="2"/>
      <c r="BB14" s="73" t="s">
        <v>53</v>
      </c>
      <c r="BC14">
        <f t="shared" si="16"/>
        <v>25497</v>
      </c>
      <c r="BD14">
        <f t="shared" si="17"/>
        <v>3749.4285714285716</v>
      </c>
      <c r="BE14">
        <f t="shared" si="18"/>
        <v>4602.1428571428569</v>
      </c>
      <c r="BF14">
        <f t="shared" si="19"/>
        <v>4310</v>
      </c>
      <c r="BG14">
        <f t="shared" si="20"/>
        <v>3726.5714285714284</v>
      </c>
      <c r="BH14">
        <f t="shared" si="21"/>
        <v>2309.2857142857142</v>
      </c>
      <c r="BI14">
        <f t="shared" si="22"/>
        <v>2443.8571428571427</v>
      </c>
      <c r="BJ14">
        <f t="shared" si="23"/>
        <v>4355.7142857142853</v>
      </c>
    </row>
    <row r="15" spans="2:62" x14ac:dyDescent="0.25">
      <c r="B15" s="19" t="s">
        <v>48</v>
      </c>
      <c r="C15" s="2">
        <v>30711</v>
      </c>
      <c r="D15" s="2">
        <v>44630</v>
      </c>
      <c r="E15" s="2">
        <v>57638</v>
      </c>
      <c r="F15" s="2">
        <v>53473</v>
      </c>
      <c r="G15" s="2">
        <v>49714</v>
      </c>
      <c r="H15" s="2">
        <v>46424</v>
      </c>
      <c r="I15" s="2">
        <v>27467</v>
      </c>
      <c r="J15" s="2">
        <v>310057</v>
      </c>
      <c r="K15" s="2"/>
      <c r="L15" s="20" t="s">
        <v>54</v>
      </c>
      <c r="M15">
        <f t="shared" si="0"/>
        <v>43538</v>
      </c>
      <c r="N15">
        <f t="shared" si="1"/>
        <v>6327.2857142857147</v>
      </c>
      <c r="O15">
        <f t="shared" si="2"/>
        <v>8159</v>
      </c>
      <c r="P15">
        <f t="shared" si="3"/>
        <v>7368</v>
      </c>
      <c r="Q15">
        <f t="shared" si="4"/>
        <v>6478.5714285714284</v>
      </c>
      <c r="R15">
        <f t="shared" si="5"/>
        <v>3899.4285714285716</v>
      </c>
      <c r="S15">
        <f t="shared" si="6"/>
        <v>4373.4285714285716</v>
      </c>
      <c r="T15">
        <f t="shared" si="7"/>
        <v>6932.2857142857147</v>
      </c>
      <c r="V15" s="19" t="s">
        <v>48</v>
      </c>
      <c r="W15" s="2">
        <v>9918</v>
      </c>
      <c r="X15" s="2">
        <v>17922</v>
      </c>
      <c r="Y15" s="2">
        <v>19764</v>
      </c>
      <c r="Z15" s="2">
        <v>19524</v>
      </c>
      <c r="AA15" s="2">
        <v>20693</v>
      </c>
      <c r="AB15" s="2">
        <v>17480</v>
      </c>
      <c r="AC15" s="2">
        <v>9589</v>
      </c>
      <c r="AD15" s="2">
        <v>114890</v>
      </c>
      <c r="AE15" s="2"/>
      <c r="AF15" s="20" t="s">
        <v>54</v>
      </c>
      <c r="AG15">
        <f t="shared" si="8"/>
        <v>16455.142857142859</v>
      </c>
      <c r="AH15">
        <f t="shared" si="9"/>
        <v>2473</v>
      </c>
      <c r="AI15">
        <f t="shared" si="10"/>
        <v>2883.4285714285716</v>
      </c>
      <c r="AJ15">
        <f t="shared" si="11"/>
        <v>2689.5714285714284</v>
      </c>
      <c r="AK15">
        <f t="shared" si="12"/>
        <v>2418</v>
      </c>
      <c r="AL15">
        <f t="shared" si="13"/>
        <v>1474.8571428571429</v>
      </c>
      <c r="AM15">
        <f t="shared" si="14"/>
        <v>1499.1428571428571</v>
      </c>
      <c r="AN15">
        <f t="shared" si="15"/>
        <v>3017.1428571428573</v>
      </c>
      <c r="AQ15" s="19" t="s">
        <v>47</v>
      </c>
      <c r="AR15" s="2">
        <v>14957</v>
      </c>
      <c r="AS15" s="2">
        <v>24714</v>
      </c>
      <c r="AT15" s="2">
        <v>29143</v>
      </c>
      <c r="AU15" s="2">
        <v>27469</v>
      </c>
      <c r="AV15" s="2">
        <v>27690</v>
      </c>
      <c r="AW15" s="2">
        <v>24503</v>
      </c>
      <c r="AX15" s="2">
        <v>14205</v>
      </c>
      <c r="AY15" s="2">
        <v>162681</v>
      </c>
      <c r="AZ15" s="2"/>
      <c r="BB15" s="73" t="s">
        <v>54</v>
      </c>
      <c r="BC15">
        <f t="shared" si="16"/>
        <v>25639.714285714286</v>
      </c>
      <c r="BD15">
        <f t="shared" si="17"/>
        <v>3805.7142857142858</v>
      </c>
      <c r="BE15">
        <f t="shared" si="18"/>
        <v>4626.2857142857147</v>
      </c>
      <c r="BF15">
        <f t="shared" si="19"/>
        <v>4247</v>
      </c>
      <c r="BG15">
        <f t="shared" si="20"/>
        <v>3773.2857142857142</v>
      </c>
      <c r="BH15">
        <f t="shared" si="21"/>
        <v>2301.7142857142858</v>
      </c>
      <c r="BI15">
        <f t="shared" si="22"/>
        <v>2444.8571428571427</v>
      </c>
      <c r="BJ15">
        <f t="shared" si="23"/>
        <v>4440.8571428571431</v>
      </c>
    </row>
    <row r="16" spans="2:62" x14ac:dyDescent="0.25">
      <c r="B16" s="19" t="s">
        <v>49</v>
      </c>
      <c r="C16" s="2">
        <v>30999</v>
      </c>
      <c r="D16" s="2">
        <v>45028</v>
      </c>
      <c r="E16" s="2">
        <v>59596</v>
      </c>
      <c r="F16" s="2">
        <v>54337</v>
      </c>
      <c r="G16" s="2">
        <v>49602</v>
      </c>
      <c r="H16" s="2">
        <v>46300</v>
      </c>
      <c r="I16" s="2">
        <v>27428</v>
      </c>
      <c r="J16" s="2">
        <v>313290</v>
      </c>
      <c r="K16" s="2"/>
      <c r="L16" s="20" t="s">
        <v>55</v>
      </c>
      <c r="M16">
        <f>VLOOKUP($L16,$B$7:$J$1048576,9,FALSE)/7</f>
        <v>43416.714285714283</v>
      </c>
      <c r="N16">
        <f t="shared" si="1"/>
        <v>6228.5714285714284</v>
      </c>
      <c r="O16">
        <f t="shared" si="2"/>
        <v>8124.8571428571431</v>
      </c>
      <c r="P16">
        <f t="shared" si="3"/>
        <v>7464.5714285714284</v>
      </c>
      <c r="Q16">
        <f t="shared" si="4"/>
        <v>6356.4285714285716</v>
      </c>
      <c r="R16">
        <f t="shared" si="5"/>
        <v>3885.4285714285716</v>
      </c>
      <c r="S16">
        <f t="shared" si="6"/>
        <v>4418.4285714285716</v>
      </c>
      <c r="T16">
        <f t="shared" si="7"/>
        <v>6938.4285714285716</v>
      </c>
      <c r="V16" s="19" t="s">
        <v>49</v>
      </c>
      <c r="W16" s="2">
        <v>10124</v>
      </c>
      <c r="X16" s="2">
        <v>18401</v>
      </c>
      <c r="Y16" s="2">
        <v>21275</v>
      </c>
      <c r="Z16" s="2">
        <v>20417</v>
      </c>
      <c r="AA16" s="2">
        <v>21521</v>
      </c>
      <c r="AB16" s="2">
        <v>18085</v>
      </c>
      <c r="AC16" s="2">
        <v>9786</v>
      </c>
      <c r="AD16" s="2">
        <v>119609</v>
      </c>
      <c r="AE16" s="2"/>
      <c r="AF16" s="20" t="s">
        <v>55</v>
      </c>
      <c r="AG16">
        <f t="shared" si="8"/>
        <v>16353.285714285714</v>
      </c>
      <c r="AH16">
        <f t="shared" si="9"/>
        <v>2493.8571428571427</v>
      </c>
      <c r="AI16">
        <f t="shared" si="10"/>
        <v>2876.7142857142858</v>
      </c>
      <c r="AJ16">
        <f t="shared" si="11"/>
        <v>2646.1428571428573</v>
      </c>
      <c r="AK16">
        <f t="shared" si="12"/>
        <v>2358.5714285714284</v>
      </c>
      <c r="AL16">
        <f t="shared" si="13"/>
        <v>1460.8571428571429</v>
      </c>
      <c r="AM16">
        <f t="shared" si="14"/>
        <v>1497</v>
      </c>
      <c r="AN16">
        <f t="shared" si="15"/>
        <v>3020.1428571428573</v>
      </c>
      <c r="AQ16" s="19" t="s">
        <v>48</v>
      </c>
      <c r="AR16" s="2">
        <v>16792</v>
      </c>
      <c r="AS16" s="2">
        <v>27269</v>
      </c>
      <c r="AT16" s="2">
        <v>32690</v>
      </c>
      <c r="AU16" s="2">
        <v>31190</v>
      </c>
      <c r="AV16" s="2">
        <v>30835</v>
      </c>
      <c r="AW16" s="2">
        <v>27741</v>
      </c>
      <c r="AX16" s="2">
        <v>16014</v>
      </c>
      <c r="AY16" s="2">
        <v>182531</v>
      </c>
      <c r="AZ16" s="2"/>
      <c r="BB16" s="73" t="s">
        <v>55</v>
      </c>
      <c r="BC16">
        <f t="shared" si="16"/>
        <v>25406.142857142859</v>
      </c>
      <c r="BD16">
        <f t="shared" si="17"/>
        <v>3752.7142857142858</v>
      </c>
      <c r="BE16">
        <f t="shared" si="18"/>
        <v>4586.4285714285716</v>
      </c>
      <c r="BF16">
        <f t="shared" si="19"/>
        <v>4201.1428571428569</v>
      </c>
      <c r="BG16">
        <f t="shared" si="20"/>
        <v>3724</v>
      </c>
      <c r="BH16">
        <f t="shared" si="21"/>
        <v>2336.2857142857142</v>
      </c>
      <c r="BI16">
        <f t="shared" si="22"/>
        <v>2431.8571428571427</v>
      </c>
      <c r="BJ16">
        <f t="shared" si="23"/>
        <v>4373.7142857142853</v>
      </c>
    </row>
    <row r="17" spans="2:62" x14ac:dyDescent="0.25">
      <c r="B17" s="19" t="s">
        <v>50</v>
      </c>
      <c r="C17" s="2">
        <v>31055</v>
      </c>
      <c r="D17" s="2">
        <v>45126</v>
      </c>
      <c r="E17" s="2">
        <v>58347</v>
      </c>
      <c r="F17" s="2">
        <v>54617</v>
      </c>
      <c r="G17" s="2">
        <v>48577</v>
      </c>
      <c r="H17" s="2">
        <v>46167</v>
      </c>
      <c r="I17" s="2">
        <v>27354</v>
      </c>
      <c r="J17" s="2">
        <v>311243</v>
      </c>
      <c r="K17" s="2"/>
      <c r="L17" s="20" t="s">
        <v>56</v>
      </c>
      <c r="M17">
        <f t="shared" si="0"/>
        <v>43146.571428571428</v>
      </c>
      <c r="N17">
        <f t="shared" si="1"/>
        <v>5930</v>
      </c>
      <c r="O17">
        <f t="shared" si="2"/>
        <v>8197.7142857142862</v>
      </c>
      <c r="P17">
        <f t="shared" si="3"/>
        <v>7376.5714285714284</v>
      </c>
      <c r="Q17">
        <f t="shared" si="4"/>
        <v>6458.7142857142853</v>
      </c>
      <c r="R17">
        <f t="shared" si="5"/>
        <v>3843.8571428571427</v>
      </c>
      <c r="S17">
        <f t="shared" si="6"/>
        <v>4428.5714285714284</v>
      </c>
      <c r="T17">
        <f t="shared" si="7"/>
        <v>6911.1428571428569</v>
      </c>
      <c r="V17" s="19" t="s">
        <v>50</v>
      </c>
      <c r="W17" s="2">
        <v>10030</v>
      </c>
      <c r="X17" s="2">
        <v>17895</v>
      </c>
      <c r="Y17" s="2">
        <v>20773</v>
      </c>
      <c r="Z17" s="2">
        <v>20177</v>
      </c>
      <c r="AA17" s="2">
        <v>21234</v>
      </c>
      <c r="AB17" s="2">
        <v>17594</v>
      </c>
      <c r="AC17" s="2">
        <v>10094</v>
      </c>
      <c r="AD17" s="2">
        <v>117797</v>
      </c>
      <c r="AE17" s="2"/>
      <c r="AF17" s="20" t="s">
        <v>56</v>
      </c>
      <c r="AG17">
        <f t="shared" si="8"/>
        <v>16204.714285714286</v>
      </c>
      <c r="AH17">
        <f t="shared" si="9"/>
        <v>2405.1428571428573</v>
      </c>
      <c r="AI17">
        <f t="shared" si="10"/>
        <v>2838.8571428571427</v>
      </c>
      <c r="AJ17">
        <f t="shared" si="11"/>
        <v>2663.7142857142858</v>
      </c>
      <c r="AK17">
        <f t="shared" si="12"/>
        <v>2376.7142857142858</v>
      </c>
      <c r="AL17">
        <f t="shared" si="13"/>
        <v>1461.2857142857142</v>
      </c>
      <c r="AM17">
        <f t="shared" si="14"/>
        <v>1479.7142857142858</v>
      </c>
      <c r="AN17">
        <f t="shared" si="15"/>
        <v>2979.2857142857142</v>
      </c>
      <c r="AQ17" s="19" t="s">
        <v>49</v>
      </c>
      <c r="AR17" s="2">
        <v>17088</v>
      </c>
      <c r="AS17" s="2">
        <v>27634</v>
      </c>
      <c r="AT17" s="2">
        <v>33988</v>
      </c>
      <c r="AU17" s="2">
        <v>31545</v>
      </c>
      <c r="AV17" s="2">
        <v>31767</v>
      </c>
      <c r="AW17" s="2">
        <v>27805</v>
      </c>
      <c r="AX17" s="2">
        <v>16293</v>
      </c>
      <c r="AY17" s="2">
        <v>186120</v>
      </c>
      <c r="AZ17" s="2"/>
      <c r="BB17" s="73" t="s">
        <v>56</v>
      </c>
      <c r="BC17">
        <f t="shared" si="16"/>
        <v>25337.428571428572</v>
      </c>
      <c r="BD17">
        <f t="shared" si="17"/>
        <v>3620.2857142857142</v>
      </c>
      <c r="BE17">
        <f t="shared" si="18"/>
        <v>4583.8571428571431</v>
      </c>
      <c r="BF17">
        <f t="shared" si="19"/>
        <v>4274.4285714285716</v>
      </c>
      <c r="BG17">
        <f t="shared" si="20"/>
        <v>3753.2857142857142</v>
      </c>
      <c r="BH17">
        <f t="shared" si="21"/>
        <v>2320</v>
      </c>
      <c r="BI17">
        <f t="shared" si="22"/>
        <v>2455.5714285714284</v>
      </c>
      <c r="BJ17">
        <f t="shared" si="23"/>
        <v>4330</v>
      </c>
    </row>
    <row r="18" spans="2:62" x14ac:dyDescent="0.25">
      <c r="B18" s="19" t="s">
        <v>51</v>
      </c>
      <c r="C18" s="2">
        <v>31375</v>
      </c>
      <c r="D18" s="2">
        <v>44569</v>
      </c>
      <c r="E18" s="2">
        <v>57633</v>
      </c>
      <c r="F18" s="2">
        <v>53865</v>
      </c>
      <c r="G18" s="2">
        <v>49350</v>
      </c>
      <c r="H18" s="2">
        <v>46046</v>
      </c>
      <c r="I18" s="2">
        <v>27395</v>
      </c>
      <c r="J18" s="2">
        <v>310233</v>
      </c>
      <c r="K18" s="2"/>
      <c r="L18" s="20"/>
      <c r="V18" s="19" t="s">
        <v>51</v>
      </c>
      <c r="W18" s="2">
        <v>10082</v>
      </c>
      <c r="X18" s="2">
        <v>17577</v>
      </c>
      <c r="Y18" s="2">
        <v>19964</v>
      </c>
      <c r="Z18" s="2">
        <v>20164</v>
      </c>
      <c r="AA18" s="2">
        <v>21150</v>
      </c>
      <c r="AB18" s="2">
        <v>17362</v>
      </c>
      <c r="AC18" s="2">
        <v>10128</v>
      </c>
      <c r="AD18" s="2">
        <v>116427</v>
      </c>
      <c r="AE18" s="2"/>
      <c r="AF18" s="20"/>
      <c r="AQ18" s="19" t="s">
        <v>50</v>
      </c>
      <c r="AR18" s="2">
        <v>16730</v>
      </c>
      <c r="AS18" s="2">
        <v>26980</v>
      </c>
      <c r="AT18" s="2">
        <v>32817</v>
      </c>
      <c r="AU18" s="2">
        <v>31475</v>
      </c>
      <c r="AV18" s="2">
        <v>30370</v>
      </c>
      <c r="AW18" s="2">
        <v>27048</v>
      </c>
      <c r="AX18" s="2">
        <v>16100</v>
      </c>
      <c r="AY18" s="2">
        <v>181520</v>
      </c>
      <c r="AZ18" s="2"/>
      <c r="BB18" s="73"/>
    </row>
    <row r="19" spans="2:62" x14ac:dyDescent="0.25">
      <c r="B19" s="19" t="s">
        <v>52</v>
      </c>
      <c r="C19" s="2">
        <v>30758</v>
      </c>
      <c r="D19" s="2">
        <v>44523</v>
      </c>
      <c r="E19" s="2">
        <v>55998</v>
      </c>
      <c r="F19" s="2">
        <v>53118</v>
      </c>
      <c r="G19" s="2">
        <v>48897</v>
      </c>
      <c r="H19" s="2">
        <v>46040</v>
      </c>
      <c r="I19" s="2">
        <v>27349</v>
      </c>
      <c r="J19" s="2">
        <v>306683</v>
      </c>
      <c r="K19" s="2"/>
      <c r="V19" s="19" t="s">
        <v>52</v>
      </c>
      <c r="W19" s="2">
        <v>10161</v>
      </c>
      <c r="X19" s="2">
        <v>17850</v>
      </c>
      <c r="Y19" s="2">
        <v>19437</v>
      </c>
      <c r="Z19" s="2">
        <v>20204</v>
      </c>
      <c r="AA19" s="2">
        <v>21118</v>
      </c>
      <c r="AB19" s="2">
        <v>17449</v>
      </c>
      <c r="AC19" s="2">
        <v>10197</v>
      </c>
      <c r="AD19" s="2">
        <v>116416</v>
      </c>
      <c r="AE19" s="2"/>
      <c r="AQ19" s="19" t="s">
        <v>51</v>
      </c>
      <c r="AR19" s="2">
        <v>17144</v>
      </c>
      <c r="AS19" s="2">
        <v>26753</v>
      </c>
      <c r="AT19" s="2">
        <v>32332</v>
      </c>
      <c r="AU19" s="2">
        <v>31479</v>
      </c>
      <c r="AV19" s="2">
        <v>30858</v>
      </c>
      <c r="AW19" s="2">
        <v>27239</v>
      </c>
      <c r="AX19" s="2">
        <v>16437</v>
      </c>
      <c r="AY19" s="2">
        <v>182242</v>
      </c>
      <c r="AZ19" s="2"/>
    </row>
    <row r="20" spans="2:62" x14ac:dyDescent="0.25">
      <c r="B20" s="19" t="s">
        <v>40</v>
      </c>
      <c r="C20" s="2">
        <v>393264</v>
      </c>
      <c r="D20" s="2">
        <v>566842</v>
      </c>
      <c r="E20" s="2">
        <v>736257</v>
      </c>
      <c r="F20" s="2">
        <v>680163</v>
      </c>
      <c r="G20" s="2">
        <v>626198</v>
      </c>
      <c r="H20" s="2">
        <v>583742</v>
      </c>
      <c r="I20" s="2">
        <v>347105</v>
      </c>
      <c r="J20" s="2">
        <v>3933571</v>
      </c>
      <c r="K20" s="2"/>
      <c r="V20" s="19" t="s">
        <v>40</v>
      </c>
      <c r="W20" s="2">
        <v>128191</v>
      </c>
      <c r="X20" s="2">
        <v>226000</v>
      </c>
      <c r="Y20" s="2">
        <v>255178</v>
      </c>
      <c r="Z20" s="2">
        <v>246581</v>
      </c>
      <c r="AA20" s="2">
        <v>266008</v>
      </c>
      <c r="AB20" s="2">
        <v>217639</v>
      </c>
      <c r="AC20" s="2">
        <v>126583</v>
      </c>
      <c r="AD20" s="2">
        <v>1466180</v>
      </c>
      <c r="AE20" s="2"/>
      <c r="AQ20" s="19" t="s">
        <v>52</v>
      </c>
      <c r="AR20" s="2">
        <v>17092</v>
      </c>
      <c r="AS20" s="2">
        <v>27100</v>
      </c>
      <c r="AT20" s="2">
        <v>31483</v>
      </c>
      <c r="AU20" s="2">
        <v>31137</v>
      </c>
      <c r="AV20" s="2">
        <v>30859</v>
      </c>
      <c r="AW20" s="2">
        <v>27117</v>
      </c>
      <c r="AX20" s="2">
        <v>16472</v>
      </c>
      <c r="AY20" s="2">
        <v>181260</v>
      </c>
      <c r="AZ20" s="2"/>
    </row>
    <row r="21" spans="2:62" x14ac:dyDescent="0.25">
      <c r="AQ21" s="19" t="s">
        <v>40</v>
      </c>
      <c r="AR21" s="2">
        <v>214343</v>
      </c>
      <c r="AS21" s="2">
        <v>341866</v>
      </c>
      <c r="AT21" s="2">
        <v>412352</v>
      </c>
      <c r="AU21" s="2">
        <v>390001</v>
      </c>
      <c r="AV21" s="2">
        <v>391086</v>
      </c>
      <c r="AW21" s="2">
        <v>341785</v>
      </c>
      <c r="AX21" s="2">
        <v>204855</v>
      </c>
      <c r="AY21" s="2">
        <v>2296288</v>
      </c>
      <c r="AZ21" s="2"/>
    </row>
    <row r="30" spans="2:62" x14ac:dyDescent="0.25">
      <c r="AQ30" s="19"/>
      <c r="AR30" s="2"/>
      <c r="AS30" s="2"/>
      <c r="AT30" s="2"/>
      <c r="AU30" s="2"/>
      <c r="AV30" s="2"/>
      <c r="AW30" s="2"/>
      <c r="AX30" s="2"/>
      <c r="AY30" s="2"/>
      <c r="AZ30" s="2"/>
    </row>
    <row r="31" spans="2:62" x14ac:dyDescent="0.25">
      <c r="AQ31" s="19"/>
      <c r="AR31" s="2"/>
      <c r="AS31" s="2"/>
      <c r="AT31" s="2"/>
      <c r="AU31" s="2"/>
      <c r="AV31" s="2"/>
      <c r="AW31" s="2"/>
      <c r="AX31" s="2"/>
      <c r="AY31" s="2"/>
      <c r="AZ31" s="2"/>
    </row>
    <row r="32" spans="2:62" x14ac:dyDescent="0.25">
      <c r="AQ32" s="19"/>
      <c r="AR32" s="2"/>
      <c r="AS32" s="2"/>
      <c r="AT32" s="2"/>
      <c r="AU32" s="2"/>
      <c r="AV32" s="2"/>
      <c r="AW32" s="2"/>
      <c r="AX32" s="2"/>
      <c r="AY32" s="2"/>
      <c r="AZ32" s="2"/>
    </row>
    <row r="33" spans="43:52" x14ac:dyDescent="0.25">
      <c r="AQ33" s="19"/>
      <c r="AR33" s="2"/>
      <c r="AS33" s="2"/>
      <c r="AT33" s="2"/>
      <c r="AU33" s="2"/>
      <c r="AV33" s="2"/>
      <c r="AW33" s="2"/>
      <c r="AX33" s="2"/>
      <c r="AY33" s="2"/>
      <c r="AZ33" s="2"/>
    </row>
    <row r="34" spans="43:52" x14ac:dyDescent="0.25">
      <c r="AQ34" s="19"/>
      <c r="AR34" s="2"/>
      <c r="AS34" s="2"/>
      <c r="AT34" s="2"/>
      <c r="AU34" s="2"/>
      <c r="AV34" s="2"/>
      <c r="AW34" s="2"/>
      <c r="AX34" s="2"/>
      <c r="AY34" s="2"/>
      <c r="AZ34" s="2"/>
    </row>
    <row r="35" spans="43:52" x14ac:dyDescent="0.25">
      <c r="AQ35" s="19"/>
      <c r="AR35" s="2"/>
      <c r="AS35" s="2"/>
      <c r="AT35" s="2"/>
      <c r="AU35" s="2"/>
      <c r="AV35" s="2"/>
      <c r="AW35" s="2"/>
      <c r="AX35" s="2"/>
      <c r="AY35" s="2"/>
      <c r="AZ35" s="2"/>
    </row>
    <row r="36" spans="43:52" x14ac:dyDescent="0.25">
      <c r="AQ36" s="19"/>
      <c r="AR36" s="2"/>
      <c r="AS36" s="2"/>
      <c r="AT36" s="2"/>
      <c r="AU36" s="2"/>
      <c r="AV36" s="2"/>
      <c r="AW36" s="2"/>
      <c r="AX36" s="2"/>
      <c r="AY36" s="2"/>
      <c r="AZ36" s="2"/>
    </row>
    <row r="37" spans="43:52" x14ac:dyDescent="0.25">
      <c r="AQ37" s="19"/>
      <c r="AR37" s="2"/>
      <c r="AS37" s="2"/>
      <c r="AT37" s="2"/>
      <c r="AU37" s="2"/>
      <c r="AV37" s="2"/>
      <c r="AW37" s="2"/>
      <c r="AX37" s="2"/>
      <c r="AY37" s="2"/>
      <c r="AZ37" s="2"/>
    </row>
    <row r="38" spans="43:52" x14ac:dyDescent="0.25">
      <c r="AQ38" s="19"/>
      <c r="AR38" s="2"/>
      <c r="AS38" s="2"/>
      <c r="AT38" s="2"/>
      <c r="AU38" s="2"/>
      <c r="AV38" s="2"/>
      <c r="AW38" s="2"/>
      <c r="AX38" s="2"/>
      <c r="AY38" s="2"/>
      <c r="AZ38" s="2"/>
    </row>
    <row r="39" spans="43:52" x14ac:dyDescent="0.25">
      <c r="AQ39" s="19"/>
      <c r="AR39" s="2"/>
      <c r="AS39" s="2"/>
      <c r="AT39" s="2"/>
      <c r="AU39" s="2"/>
      <c r="AV39" s="2"/>
      <c r="AW39" s="2"/>
      <c r="AX39" s="2"/>
      <c r="AY39" s="2"/>
      <c r="AZ39" s="2"/>
    </row>
    <row r="40" spans="43:52" x14ac:dyDescent="0.25">
      <c r="AQ40" s="19"/>
      <c r="AR40" s="2"/>
      <c r="AS40" s="2"/>
      <c r="AT40" s="2"/>
      <c r="AU40" s="2"/>
      <c r="AV40" s="2"/>
      <c r="AW40" s="2"/>
      <c r="AX40" s="2"/>
      <c r="AY40" s="2"/>
      <c r="AZ40" s="2"/>
    </row>
    <row r="41" spans="43:52" x14ac:dyDescent="0.25">
      <c r="AQ41" s="19"/>
      <c r="AR41" s="2"/>
      <c r="AS41" s="2"/>
      <c r="AT41" s="2"/>
      <c r="AU41" s="2"/>
      <c r="AV41" s="2"/>
      <c r="AW41" s="2"/>
      <c r="AX41" s="2"/>
      <c r="AY41" s="2"/>
      <c r="AZ41" s="2"/>
    </row>
    <row r="42" spans="43:52" x14ac:dyDescent="0.25">
      <c r="AQ42" s="19"/>
      <c r="AR42" s="2"/>
      <c r="AS42" s="2"/>
      <c r="AT42" s="2"/>
      <c r="AU42" s="2"/>
      <c r="AV42" s="2"/>
      <c r="AW42" s="2"/>
      <c r="AX42" s="2"/>
      <c r="AY42" s="2"/>
      <c r="AZ42" s="2"/>
    </row>
    <row r="43" spans="43:52" x14ac:dyDescent="0.25">
      <c r="AQ43" s="19"/>
      <c r="AR43" s="2"/>
      <c r="AS43" s="2"/>
      <c r="AT43" s="2"/>
      <c r="AU43" s="2"/>
      <c r="AV43" s="2"/>
      <c r="AW43" s="2"/>
      <c r="AX43" s="2"/>
      <c r="AY43" s="2"/>
      <c r="AZ43" s="2"/>
    </row>
    <row r="44" spans="43:52" x14ac:dyDescent="0.25">
      <c r="AQ44" s="19"/>
      <c r="AR44" s="2"/>
      <c r="AS44" s="2"/>
      <c r="AT44" s="2"/>
      <c r="AU44" s="2"/>
      <c r="AV44" s="2"/>
      <c r="AW44" s="2"/>
      <c r="AX44" s="2"/>
      <c r="AY44" s="2"/>
      <c r="AZ44" s="2"/>
    </row>
  </sheetData>
  <mergeCells count="3">
    <mergeCell ref="B1:Q1"/>
    <mergeCell ref="V1:AK1"/>
    <mergeCell ref="AQ1:BG1"/>
  </mergeCells>
  <pageMargins left="0.7" right="0.7" top="0.75" bottom="0.75"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U147"/>
  <sheetViews>
    <sheetView topLeftCell="CB1" zoomScale="90" zoomScaleNormal="90" workbookViewId="0">
      <selection activeCell="AK143" sqref="AK143"/>
    </sheetView>
  </sheetViews>
  <sheetFormatPr defaultRowHeight="15" x14ac:dyDescent="0.25"/>
  <cols>
    <col min="2" max="2" width="13.28515625" bestFit="1" customWidth="1"/>
    <col min="3" max="3" width="27.42578125" bestFit="1" customWidth="1"/>
    <col min="7" max="7" width="27.42578125" bestFit="1" customWidth="1"/>
    <col min="8" max="8" width="16.28515625" bestFit="1" customWidth="1"/>
    <col min="9" max="9" width="7.5703125" customWidth="1"/>
    <col min="10" max="10" width="9.28515625" customWidth="1"/>
    <col min="11" max="11" width="23.140625" bestFit="1" customWidth="1"/>
    <col min="12" max="12" width="21.7109375" bestFit="1" customWidth="1"/>
    <col min="13" max="13" width="20.140625" bestFit="1" customWidth="1"/>
    <col min="14" max="14" width="21.42578125" customWidth="1"/>
    <col min="15" max="16" width="11.28515625" customWidth="1"/>
    <col min="29" max="29" width="78.140625" customWidth="1"/>
    <col min="30" max="30" width="16.28515625" customWidth="1"/>
    <col min="31" max="38" width="7.7109375" customWidth="1"/>
    <col min="39" max="42" width="8.85546875" customWidth="1"/>
    <col min="43" max="43" width="7.7109375" customWidth="1"/>
    <col min="45" max="45" width="13.28515625" customWidth="1"/>
    <col min="46" max="46" width="27.42578125" customWidth="1"/>
    <col min="51" max="51" width="13.28515625" bestFit="1" customWidth="1"/>
    <col min="52" max="52" width="32.42578125" bestFit="1" customWidth="1"/>
    <col min="56" max="56" width="32.42578125" bestFit="1" customWidth="1"/>
    <col min="57" max="57" width="16.28515625" bestFit="1" customWidth="1"/>
    <col min="58" max="58" width="7.5703125" customWidth="1"/>
    <col min="59" max="59" width="9.28515625" customWidth="1"/>
    <col min="60" max="60" width="23.140625" bestFit="1" customWidth="1"/>
    <col min="61" max="61" width="21.7109375" bestFit="1" customWidth="1"/>
    <col min="62" max="62" width="20.140625" bestFit="1" customWidth="1"/>
    <col min="63" max="63" width="21.42578125" customWidth="1"/>
    <col min="64" max="66" width="11.28515625" customWidth="1"/>
    <col min="78" max="78" width="7.7109375" customWidth="1"/>
    <col min="79" max="79" width="78.140625" customWidth="1"/>
    <col min="80" max="80" width="16.28515625" customWidth="1"/>
    <col min="81" max="84" width="8.85546875" customWidth="1"/>
    <col min="85" max="94" width="7.7109375" customWidth="1"/>
    <col min="96" max="96" width="13.28515625" bestFit="1" customWidth="1"/>
    <col min="97" max="97" width="32.42578125" bestFit="1" customWidth="1"/>
  </cols>
  <sheetData>
    <row r="1" spans="2:99" s="17" customFormat="1" x14ac:dyDescent="0.25">
      <c r="B1" s="44" t="s">
        <v>312</v>
      </c>
      <c r="C1" s="51"/>
      <c r="D1" s="38"/>
      <c r="E1" s="38"/>
      <c r="F1" s="38"/>
      <c r="G1" s="152" t="s">
        <v>313</v>
      </c>
      <c r="H1" s="152"/>
      <c r="I1" s="152"/>
      <c r="J1" s="152"/>
      <c r="K1" s="152"/>
      <c r="L1" s="152"/>
      <c r="M1" s="152"/>
      <c r="N1" s="152"/>
      <c r="O1" s="152"/>
      <c r="P1" s="152"/>
      <c r="Q1" s="152"/>
      <c r="R1" s="152"/>
      <c r="S1" s="152"/>
      <c r="T1" s="152"/>
      <c r="U1" s="152"/>
      <c r="V1" s="152"/>
      <c r="W1" s="152"/>
      <c r="X1" s="152"/>
      <c r="Y1" s="152"/>
      <c r="Z1" s="38"/>
      <c r="AA1" s="38"/>
      <c r="AB1" s="38"/>
      <c r="AC1" s="151" t="s">
        <v>314</v>
      </c>
      <c r="AD1" s="151"/>
      <c r="AE1" s="151"/>
      <c r="AF1" s="151"/>
      <c r="AG1" s="151"/>
      <c r="AH1" s="151"/>
      <c r="AI1" s="151"/>
      <c r="AJ1" s="151"/>
      <c r="AK1" s="151"/>
      <c r="AL1" s="151"/>
      <c r="AM1" s="151"/>
      <c r="AN1" s="151"/>
      <c r="AO1" s="151"/>
      <c r="AP1" s="151"/>
      <c r="AQ1" s="151"/>
      <c r="AR1" s="38"/>
      <c r="AS1" s="151" t="s">
        <v>315</v>
      </c>
      <c r="AT1" s="151"/>
      <c r="AU1" s="151"/>
      <c r="AV1" s="151"/>
      <c r="AX1" s="38"/>
      <c r="AY1" s="44" t="s">
        <v>316</v>
      </c>
      <c r="AZ1" s="47"/>
      <c r="BA1" s="47"/>
      <c r="BB1" s="38"/>
      <c r="BC1" s="38"/>
      <c r="BD1" s="152" t="s">
        <v>317</v>
      </c>
      <c r="BE1" s="152"/>
      <c r="BF1" s="152"/>
      <c r="BG1" s="152"/>
      <c r="BH1" s="152"/>
      <c r="BI1" s="152"/>
      <c r="BJ1" s="152"/>
      <c r="BK1" s="152"/>
      <c r="BL1" s="152"/>
      <c r="BM1" s="152"/>
      <c r="BN1" s="152"/>
      <c r="BO1" s="152"/>
      <c r="BP1" s="152"/>
      <c r="BQ1" s="152"/>
      <c r="BR1" s="152"/>
      <c r="BS1" s="152"/>
      <c r="BT1" s="152"/>
      <c r="BU1" s="152"/>
      <c r="BV1" s="152"/>
      <c r="BW1" s="120"/>
      <c r="BX1" s="120"/>
      <c r="BY1" s="38"/>
      <c r="BZ1" s="38"/>
      <c r="CA1" s="151" t="s">
        <v>318</v>
      </c>
      <c r="CB1" s="151"/>
      <c r="CC1" s="151"/>
      <c r="CD1" s="151"/>
      <c r="CE1" s="151"/>
      <c r="CF1" s="151"/>
      <c r="CG1" s="151"/>
      <c r="CH1" s="151"/>
      <c r="CI1" s="151"/>
      <c r="CJ1" s="151"/>
      <c r="CK1" s="151"/>
      <c r="CL1" s="151"/>
      <c r="CM1" s="151"/>
      <c r="CN1" s="151"/>
      <c r="CO1" s="151"/>
      <c r="CP1" s="38"/>
      <c r="CR1" s="151" t="s">
        <v>319</v>
      </c>
      <c r="CS1" s="151"/>
      <c r="CT1" s="151"/>
      <c r="CU1" s="151"/>
    </row>
    <row r="2" spans="2:99" x14ac:dyDescent="0.25">
      <c r="BZ2" s="43"/>
      <c r="CA2" s="43"/>
      <c r="CB2" s="43"/>
      <c r="CC2" s="43"/>
      <c r="CD2" s="43"/>
      <c r="CE2" s="43"/>
      <c r="CF2" s="43"/>
      <c r="CG2" s="43"/>
      <c r="CH2" s="43"/>
      <c r="CI2" s="43"/>
      <c r="CJ2" s="43"/>
      <c r="CK2" s="43"/>
      <c r="CL2" s="43"/>
      <c r="CM2" s="43"/>
      <c r="CN2" s="43"/>
      <c r="CO2" s="43"/>
      <c r="CP2" s="43"/>
    </row>
    <row r="3" spans="2:99" x14ac:dyDescent="0.25">
      <c r="B3" s="18" t="s">
        <v>41</v>
      </c>
      <c r="C3" t="s" vm="1">
        <v>287</v>
      </c>
      <c r="G3" s="18" t="s">
        <v>41</v>
      </c>
      <c r="H3" t="s" vm="1">
        <v>287</v>
      </c>
      <c r="S3" t="s">
        <v>42</v>
      </c>
      <c r="T3" t="s">
        <v>1</v>
      </c>
      <c r="U3" t="s">
        <v>241</v>
      </c>
      <c r="V3" t="s">
        <v>282</v>
      </c>
      <c r="W3" t="s">
        <v>238</v>
      </c>
      <c r="X3" t="s">
        <v>239</v>
      </c>
      <c r="Y3" t="s">
        <v>285</v>
      </c>
      <c r="Z3" t="s">
        <v>284</v>
      </c>
      <c r="AC3" s="18" t="s">
        <v>41</v>
      </c>
      <c r="AD3" t="s" vm="1">
        <v>287</v>
      </c>
      <c r="AS3" s="18" t="s">
        <v>41</v>
      </c>
      <c r="AT3" t="s" vm="1">
        <v>287</v>
      </c>
      <c r="AY3" s="18" t="s">
        <v>41</v>
      </c>
      <c r="AZ3" t="s" vm="1">
        <v>287</v>
      </c>
      <c r="BD3" s="18" t="s">
        <v>41</v>
      </c>
      <c r="BE3" t="s" vm="1">
        <v>287</v>
      </c>
      <c r="CA3" s="18" t="s">
        <v>41</v>
      </c>
      <c r="CB3" t="s" vm="1">
        <v>287</v>
      </c>
      <c r="CR3" s="18" t="s">
        <v>41</v>
      </c>
      <c r="CS3" t="s" vm="1">
        <v>287</v>
      </c>
    </row>
    <row r="4" spans="2:99" x14ac:dyDescent="0.25">
      <c r="R4" s="21" t="s">
        <v>44</v>
      </c>
      <c r="S4" s="25">
        <f>VLOOKUP($R4,$G$7:$O$1048576,9,FALSE)/7</f>
        <v>1025.7142857142858</v>
      </c>
      <c r="T4" s="25">
        <f>VLOOKUP($R4,$G$7:$O$1048576,3,FALSE)/7</f>
        <v>59.428571428571431</v>
      </c>
      <c r="U4" s="25">
        <f>VLOOKUP($R4,$G$7:$O$1048576,4,FALSE)/7</f>
        <v>245.71428571428572</v>
      </c>
      <c r="V4" s="25">
        <f>VLOOKUP($R4,$G$7:$O$1048576,5,FALSE)/7</f>
        <v>201</v>
      </c>
      <c r="W4" s="25">
        <f>VLOOKUP($R4,$G$7:$O$1048576,7,FALSE)/7</f>
        <v>63.571428571428569</v>
      </c>
      <c r="X4" s="25">
        <f>VLOOKUP($R4,$G$7:$O$1048576,8,FALSE)/7</f>
        <v>172</v>
      </c>
      <c r="Y4" s="25">
        <f>VLOOKUP($R4,$G$7:$O$1048576,2,FALSE)/7</f>
        <v>19.142857142857142</v>
      </c>
      <c r="Z4" s="25">
        <f>VLOOKUP($R4,$G$7:$O$1048576,6,FALSE)/7</f>
        <v>264.85714285714283</v>
      </c>
    </row>
    <row r="5" spans="2:99" x14ac:dyDescent="0.25">
      <c r="B5" s="18" t="s">
        <v>38</v>
      </c>
      <c r="C5" t="s">
        <v>64</v>
      </c>
      <c r="G5" s="18" t="s">
        <v>64</v>
      </c>
      <c r="H5" s="18" t="s">
        <v>43</v>
      </c>
      <c r="R5" s="20" t="s">
        <v>45</v>
      </c>
      <c r="S5" s="25">
        <f t="shared" ref="S5:S16" si="0">VLOOKUP($R5,$G$7:$O$1048576,9,FALSE)/7</f>
        <v>892.42857142857144</v>
      </c>
      <c r="T5" s="25">
        <f t="shared" ref="T5:T16" si="1">VLOOKUP($R5,$G$7:$O$1048576,3,FALSE)/7</f>
        <v>37.428571428571431</v>
      </c>
      <c r="U5" s="25">
        <f t="shared" ref="U5:U16" si="2">VLOOKUP($R5,$G$7:$O$1048576,4,FALSE)/7</f>
        <v>168.71428571428572</v>
      </c>
      <c r="V5" s="25">
        <f t="shared" ref="V5:V16" si="3">VLOOKUP($R5,$G$7:$O$1048576,5,FALSE)/7</f>
        <v>129.14285714285714</v>
      </c>
      <c r="W5" s="25">
        <f t="shared" ref="W5:W16" si="4">VLOOKUP($R5,$G$7:$O$1048576,7,FALSE)/7</f>
        <v>72.714285714285708</v>
      </c>
      <c r="X5" s="25">
        <f t="shared" ref="X5:X16" si="5">VLOOKUP($R5,$G$7:$O$1048576,8,FALSE)/7</f>
        <v>233.42857142857142</v>
      </c>
      <c r="Y5" s="25">
        <f t="shared" ref="Y5:Y16" si="6">VLOOKUP($R5,$G$7:$O$1048576,2,FALSE)/7</f>
        <v>54</v>
      </c>
      <c r="Z5" s="25">
        <f t="shared" ref="Z5:Z16" si="7">VLOOKUP($R5,$G$7:$O$1048576,6,FALSE)/7</f>
        <v>197</v>
      </c>
      <c r="AC5" s="18" t="s">
        <v>64</v>
      </c>
      <c r="AD5" s="18" t="s">
        <v>43</v>
      </c>
      <c r="AS5" s="18" t="s">
        <v>38</v>
      </c>
      <c r="AT5" t="s">
        <v>64</v>
      </c>
      <c r="AY5" s="18" t="s">
        <v>38</v>
      </c>
      <c r="AZ5" t="s">
        <v>187</v>
      </c>
      <c r="BD5" s="18" t="s">
        <v>187</v>
      </c>
      <c r="BE5" s="18" t="s">
        <v>43</v>
      </c>
      <c r="BP5" t="s">
        <v>42</v>
      </c>
      <c r="BQ5" t="s">
        <v>1</v>
      </c>
      <c r="BR5" t="s">
        <v>241</v>
      </c>
      <c r="BS5" t="s">
        <v>282</v>
      </c>
      <c r="BT5" t="s">
        <v>238</v>
      </c>
      <c r="BU5" t="s">
        <v>239</v>
      </c>
      <c r="BV5" t="s">
        <v>285</v>
      </c>
      <c r="BW5" t="s">
        <v>284</v>
      </c>
      <c r="CA5" s="18" t="s">
        <v>187</v>
      </c>
      <c r="CB5" s="18" t="s">
        <v>43</v>
      </c>
      <c r="CR5" s="18" t="s">
        <v>38</v>
      </c>
      <c r="CS5" t="s">
        <v>187</v>
      </c>
    </row>
    <row r="6" spans="2:99" x14ac:dyDescent="0.25">
      <c r="B6" s="19" t="s">
        <v>39</v>
      </c>
      <c r="C6" s="2">
        <v>7180</v>
      </c>
      <c r="D6" s="20"/>
      <c r="E6" s="20">
        <f>C6/4</f>
        <v>1795</v>
      </c>
      <c r="F6" s="20"/>
      <c r="G6" s="18" t="s">
        <v>38</v>
      </c>
      <c r="H6" t="s">
        <v>329</v>
      </c>
      <c r="I6" t="s">
        <v>1</v>
      </c>
      <c r="J6" t="s">
        <v>241</v>
      </c>
      <c r="K6" t="s">
        <v>286</v>
      </c>
      <c r="L6" t="s">
        <v>330</v>
      </c>
      <c r="M6" t="s">
        <v>237</v>
      </c>
      <c r="N6" t="s">
        <v>331</v>
      </c>
      <c r="O6" t="s">
        <v>40</v>
      </c>
      <c r="Q6" s="25"/>
      <c r="R6" s="20" t="s">
        <v>46</v>
      </c>
      <c r="S6" s="25">
        <f t="shared" si="0"/>
        <v>799</v>
      </c>
      <c r="T6" s="25">
        <f t="shared" si="1"/>
        <v>89.571428571428569</v>
      </c>
      <c r="U6" s="25">
        <f t="shared" si="2"/>
        <v>76.142857142857139</v>
      </c>
      <c r="V6" s="25">
        <f t="shared" si="3"/>
        <v>142.57142857142858</v>
      </c>
      <c r="W6" s="25">
        <f t="shared" si="4"/>
        <v>58.571428571428569</v>
      </c>
      <c r="X6" s="25">
        <f t="shared" si="5"/>
        <v>147</v>
      </c>
      <c r="Y6" s="25">
        <f t="shared" si="6"/>
        <v>66.428571428571431</v>
      </c>
      <c r="Z6" s="25">
        <f t="shared" si="7"/>
        <v>218.71428571428572</v>
      </c>
      <c r="AA6" s="25"/>
      <c r="AB6" s="25"/>
      <c r="AC6" s="18" t="s">
        <v>38</v>
      </c>
      <c r="AD6" t="s">
        <v>44</v>
      </c>
      <c r="AE6" t="s">
        <v>45</v>
      </c>
      <c r="AF6" t="s">
        <v>46</v>
      </c>
      <c r="AG6" t="s">
        <v>47</v>
      </c>
      <c r="AH6" t="s">
        <v>48</v>
      </c>
      <c r="AI6" t="s">
        <v>49</v>
      </c>
      <c r="AJ6" t="s">
        <v>50</v>
      </c>
      <c r="AK6" t="s">
        <v>51</v>
      </c>
      <c r="AL6" t="s">
        <v>52</v>
      </c>
      <c r="AM6" t="s">
        <v>53</v>
      </c>
      <c r="AN6" t="s">
        <v>54</v>
      </c>
      <c r="AO6" t="s">
        <v>55</v>
      </c>
      <c r="AP6" t="s">
        <v>56</v>
      </c>
      <c r="AS6" s="19" t="s">
        <v>293</v>
      </c>
      <c r="AT6" s="2">
        <v>1136</v>
      </c>
      <c r="AV6">
        <f>MAX(AT6:AT1048576)</f>
        <v>1169</v>
      </c>
      <c r="AX6" s="26"/>
      <c r="AY6" s="19" t="s">
        <v>39</v>
      </c>
      <c r="AZ6" s="2">
        <v>1200</v>
      </c>
      <c r="BA6" s="26">
        <f>AZ6/4</f>
        <v>300</v>
      </c>
      <c r="BB6" s="26"/>
      <c r="BC6" s="25"/>
      <c r="BD6" s="18" t="s">
        <v>38</v>
      </c>
      <c r="BE6" t="s">
        <v>329</v>
      </c>
      <c r="BF6" t="s">
        <v>1</v>
      </c>
      <c r="BG6" t="s">
        <v>241</v>
      </c>
      <c r="BH6" t="s">
        <v>286</v>
      </c>
      <c r="BI6" t="s">
        <v>330</v>
      </c>
      <c r="BJ6" t="s">
        <v>237</v>
      </c>
      <c r="BK6" t="s">
        <v>331</v>
      </c>
      <c r="BL6" t="s">
        <v>40</v>
      </c>
      <c r="BO6" s="21" t="s">
        <v>44</v>
      </c>
      <c r="BP6" s="25">
        <f>VLOOKUP($BO6, $BD$7:$BL$875, 9,FALSE)/7</f>
        <v>171.42857142857142</v>
      </c>
      <c r="BQ6" s="25">
        <f>VLOOKUP($BO6, $BD$7:$BL$875, 3,FALSE)/7</f>
        <v>14.571428571428571</v>
      </c>
      <c r="BR6" s="25">
        <f>VLOOKUP($BO6, $BD$7:$BL$875, 4,FALSE)/7</f>
        <v>39.857142857142854</v>
      </c>
      <c r="BS6" s="25">
        <f>VLOOKUP($BO6, $BD$7:$BL$875, 5,FALSE)/7</f>
        <v>37.142857142857146</v>
      </c>
      <c r="BT6" s="25">
        <f>VLOOKUP($BO6, $BD$7:$BL$875, 7,FALSE)/7</f>
        <v>5.2857142857142856</v>
      </c>
      <c r="BU6" s="25">
        <f>VLOOKUP($BO6, $BD$7:$BL$875, 8,FALSE)/7</f>
        <v>26.571428571428573</v>
      </c>
      <c r="BV6" s="25">
        <f>VLOOKUP($BO6, $BD$7:$BL$875, 2,FALSE)/7</f>
        <v>5.7142857142857144</v>
      </c>
      <c r="BW6" s="25">
        <f>VLOOKUP($BO6, $BD$7:$BL$875, 6,FALSE)/7</f>
        <v>42.285714285714285</v>
      </c>
      <c r="BX6" s="25"/>
      <c r="BY6" s="25"/>
      <c r="CA6" s="18" t="s">
        <v>38</v>
      </c>
      <c r="CB6" t="s">
        <v>44</v>
      </c>
      <c r="CC6" t="s">
        <v>53</v>
      </c>
      <c r="CD6" t="s">
        <v>54</v>
      </c>
      <c r="CE6" t="s">
        <v>55</v>
      </c>
      <c r="CF6" t="s">
        <v>56</v>
      </c>
      <c r="CG6" t="s">
        <v>45</v>
      </c>
      <c r="CH6" t="s">
        <v>46</v>
      </c>
      <c r="CI6" t="s">
        <v>47</v>
      </c>
      <c r="CJ6" t="s">
        <v>48</v>
      </c>
      <c r="CK6" t="s">
        <v>49</v>
      </c>
      <c r="CL6" t="s">
        <v>50</v>
      </c>
      <c r="CM6" t="s">
        <v>51</v>
      </c>
      <c r="CN6" t="s">
        <v>52</v>
      </c>
      <c r="CR6" s="19" t="s">
        <v>293</v>
      </c>
      <c r="CS6" s="2">
        <v>200</v>
      </c>
      <c r="CU6">
        <f>MAX(CS6:CS1048576)</f>
        <v>203</v>
      </c>
    </row>
    <row r="7" spans="2:99" x14ac:dyDescent="0.25">
      <c r="B7" s="19" t="s">
        <v>332</v>
      </c>
      <c r="C7" s="2">
        <v>6247</v>
      </c>
      <c r="D7" s="20"/>
      <c r="E7" s="20">
        <f>C7/7</f>
        <v>892.42857142857144</v>
      </c>
      <c r="F7" s="20"/>
      <c r="G7" s="19" t="s">
        <v>44</v>
      </c>
      <c r="H7" s="2">
        <v>134</v>
      </c>
      <c r="I7" s="2">
        <v>416</v>
      </c>
      <c r="J7" s="2">
        <v>1720</v>
      </c>
      <c r="K7" s="2">
        <v>1407</v>
      </c>
      <c r="L7" s="2">
        <v>1854</v>
      </c>
      <c r="M7" s="2">
        <v>445</v>
      </c>
      <c r="N7" s="2">
        <v>1204</v>
      </c>
      <c r="O7" s="2">
        <v>7180</v>
      </c>
      <c r="P7" s="2"/>
      <c r="Q7" s="25"/>
      <c r="R7" s="20" t="s">
        <v>47</v>
      </c>
      <c r="S7" s="25">
        <f t="shared" si="0"/>
        <v>447.85714285714283</v>
      </c>
      <c r="T7" s="25">
        <f t="shared" si="1"/>
        <v>62.857142857142854</v>
      </c>
      <c r="U7" s="25">
        <f t="shared" si="2"/>
        <v>43.428571428571431</v>
      </c>
      <c r="V7" s="25">
        <f t="shared" si="3"/>
        <v>56.571428571428569</v>
      </c>
      <c r="W7" s="25">
        <f t="shared" si="4"/>
        <v>42.571428571428569</v>
      </c>
      <c r="X7" s="25">
        <f t="shared" si="5"/>
        <v>80.142857142857139</v>
      </c>
      <c r="Y7" s="25">
        <f t="shared" si="6"/>
        <v>22.857142857142858</v>
      </c>
      <c r="Z7" s="25">
        <f t="shared" si="7"/>
        <v>139.42857142857142</v>
      </c>
      <c r="AA7" s="25"/>
      <c r="AB7" s="25"/>
      <c r="AC7" s="19" t="s">
        <v>65</v>
      </c>
      <c r="AD7" s="2">
        <v>0</v>
      </c>
      <c r="AE7" s="2">
        <v>0</v>
      </c>
      <c r="AF7" s="2">
        <v>0</v>
      </c>
      <c r="AG7" s="2">
        <v>0</v>
      </c>
      <c r="AH7" s="2">
        <v>0</v>
      </c>
      <c r="AI7" s="2">
        <v>0</v>
      </c>
      <c r="AJ7" s="2">
        <v>0</v>
      </c>
      <c r="AK7" s="2">
        <v>0</v>
      </c>
      <c r="AL7" s="2">
        <v>0</v>
      </c>
      <c r="AM7" s="2">
        <v>0</v>
      </c>
      <c r="AN7" s="2">
        <v>0</v>
      </c>
      <c r="AO7" s="2">
        <v>0</v>
      </c>
      <c r="AP7" s="2">
        <v>0</v>
      </c>
      <c r="AS7" s="19" t="s">
        <v>294</v>
      </c>
      <c r="AT7" s="2">
        <v>1169</v>
      </c>
      <c r="AV7">
        <f>MATCH(AV6,AT6:AT1048576,0)</f>
        <v>2</v>
      </c>
      <c r="AX7" s="26"/>
      <c r="AY7" s="19" t="s">
        <v>332</v>
      </c>
      <c r="AZ7" s="2">
        <v>1025</v>
      </c>
      <c r="BA7" s="26">
        <f>AZ7/7</f>
        <v>146.42857142857142</v>
      </c>
      <c r="BB7" s="26"/>
      <c r="BC7" s="25"/>
      <c r="BD7" s="19" t="s">
        <v>44</v>
      </c>
      <c r="BE7" s="2">
        <v>40</v>
      </c>
      <c r="BF7" s="2">
        <v>102</v>
      </c>
      <c r="BG7" s="2">
        <v>279</v>
      </c>
      <c r="BH7" s="2">
        <v>260</v>
      </c>
      <c r="BI7" s="2">
        <v>296</v>
      </c>
      <c r="BJ7" s="2">
        <v>37</v>
      </c>
      <c r="BK7" s="2">
        <v>186</v>
      </c>
      <c r="BL7" s="2">
        <v>1200</v>
      </c>
      <c r="BM7" s="2"/>
      <c r="BN7" s="2"/>
      <c r="BO7" s="20" t="s">
        <v>45</v>
      </c>
      <c r="BP7" s="25">
        <f t="shared" ref="BP7:BP18" si="8">VLOOKUP($BO7, $BD$7:$BL$875, 9,FALSE)/7</f>
        <v>146.42857142857142</v>
      </c>
      <c r="BQ7" s="25">
        <f t="shared" ref="BQ7:BQ18" si="9">VLOOKUP($BO7, $BD$7:$BL$875, 3,FALSE)/7</f>
        <v>17</v>
      </c>
      <c r="BR7" s="25">
        <f t="shared" ref="BR7:BR18" si="10">VLOOKUP($BO7, $BD$7:$BL$875, 4,FALSE)/7</f>
        <v>24.571428571428573</v>
      </c>
      <c r="BS7" s="25">
        <f t="shared" ref="BS7:BS18" si="11">VLOOKUP($BO7, $BD$7:$BL$875, 5,FALSE)/7</f>
        <v>16.428571428571427</v>
      </c>
      <c r="BT7" s="25">
        <f t="shared" ref="BT7:BT18" si="12">VLOOKUP($BO7, $BD$7:$BL$875, 7,FALSE)/7</f>
        <v>8.4285714285714288</v>
      </c>
      <c r="BU7" s="25">
        <f t="shared" ref="BU7:BU18" si="13">VLOOKUP($BO7, $BD$7:$BL$875, 8,FALSE)/7</f>
        <v>31.857142857142858</v>
      </c>
      <c r="BV7" s="25">
        <f t="shared" ref="BV7:BV18" si="14">VLOOKUP($BO7, $BD$7:$BL$875, 2,FALSE)/7</f>
        <v>16.714285714285715</v>
      </c>
      <c r="BW7" s="25">
        <f>VLOOKUP($BO7, $BD$7:$BL$875, 6,FALSE)/7</f>
        <v>31.428571428571427</v>
      </c>
      <c r="BX7" s="25"/>
      <c r="BY7" s="25"/>
      <c r="BZ7" s="2"/>
      <c r="CA7" s="19" t="s">
        <v>65</v>
      </c>
      <c r="CB7" s="2">
        <v>0</v>
      </c>
      <c r="CC7" s="2">
        <v>0</v>
      </c>
      <c r="CD7" s="2">
        <v>0</v>
      </c>
      <c r="CE7" s="2">
        <v>0</v>
      </c>
      <c r="CF7" s="2">
        <v>0</v>
      </c>
      <c r="CG7" s="2">
        <v>0</v>
      </c>
      <c r="CH7" s="2">
        <v>0</v>
      </c>
      <c r="CI7" s="2">
        <v>0</v>
      </c>
      <c r="CJ7" s="2">
        <v>0</v>
      </c>
      <c r="CK7" s="2">
        <v>0</v>
      </c>
      <c r="CL7" s="2">
        <v>0</v>
      </c>
      <c r="CM7" s="2">
        <v>0</v>
      </c>
      <c r="CN7" s="2">
        <v>0</v>
      </c>
      <c r="CP7" s="2"/>
      <c r="CR7" s="19" t="s">
        <v>294</v>
      </c>
      <c r="CS7" s="2">
        <v>168</v>
      </c>
      <c r="CU7">
        <f>MATCH(CU6,CS6:CS1048576,0)</f>
        <v>5</v>
      </c>
    </row>
    <row r="8" spans="2:99" x14ac:dyDescent="0.25">
      <c r="B8" s="19" t="s">
        <v>341</v>
      </c>
      <c r="C8" s="2">
        <v>5593</v>
      </c>
      <c r="D8" s="20"/>
      <c r="E8" s="20">
        <f>C8/7</f>
        <v>799</v>
      </c>
      <c r="F8" s="20"/>
      <c r="G8" s="19" t="s">
        <v>53</v>
      </c>
      <c r="H8" s="2">
        <v>740</v>
      </c>
      <c r="I8" s="2">
        <v>537</v>
      </c>
      <c r="J8" s="2">
        <v>924</v>
      </c>
      <c r="K8" s="2">
        <v>868</v>
      </c>
      <c r="L8" s="2">
        <v>92</v>
      </c>
      <c r="M8" s="2">
        <v>717</v>
      </c>
      <c r="N8" s="2">
        <v>721</v>
      </c>
      <c r="O8" s="2">
        <v>4599</v>
      </c>
      <c r="P8" s="2"/>
      <c r="Q8" s="25"/>
      <c r="R8" s="20" t="s">
        <v>48</v>
      </c>
      <c r="S8" s="25">
        <f t="shared" si="0"/>
        <v>554.57142857142856</v>
      </c>
      <c r="T8" s="25">
        <f t="shared" si="1"/>
        <v>48.857142857142854</v>
      </c>
      <c r="U8" s="25">
        <f t="shared" si="2"/>
        <v>122.71428571428571</v>
      </c>
      <c r="V8" s="25">
        <f t="shared" si="3"/>
        <v>50.142857142857146</v>
      </c>
      <c r="W8" s="25">
        <f t="shared" si="4"/>
        <v>78.571428571428569</v>
      </c>
      <c r="X8" s="25">
        <f t="shared" si="5"/>
        <v>124.71428571428571</v>
      </c>
      <c r="Y8" s="25">
        <f t="shared" si="6"/>
        <v>56.714285714285715</v>
      </c>
      <c r="Z8" s="25">
        <f t="shared" si="7"/>
        <v>72.857142857142861</v>
      </c>
      <c r="AA8" s="25"/>
      <c r="AB8" s="25"/>
      <c r="AC8" s="19" t="s">
        <v>66</v>
      </c>
      <c r="AD8" s="2">
        <v>0</v>
      </c>
      <c r="AE8" s="2">
        <v>0</v>
      </c>
      <c r="AF8" s="2">
        <v>0</v>
      </c>
      <c r="AG8" s="2">
        <v>0</v>
      </c>
      <c r="AH8" s="2">
        <v>0</v>
      </c>
      <c r="AI8" s="2">
        <v>0</v>
      </c>
      <c r="AJ8" s="2">
        <v>0</v>
      </c>
      <c r="AK8" s="2">
        <v>0</v>
      </c>
      <c r="AL8" s="2">
        <v>0</v>
      </c>
      <c r="AM8" s="2">
        <v>0</v>
      </c>
      <c r="AN8" s="2">
        <v>0</v>
      </c>
      <c r="AO8" s="2">
        <v>0</v>
      </c>
      <c r="AP8" s="2">
        <v>0</v>
      </c>
      <c r="AS8" s="19" t="s">
        <v>295</v>
      </c>
      <c r="AT8" s="2">
        <v>1036</v>
      </c>
      <c r="AV8" t="str">
        <f>INDEX(AS6:AS1048576,AV7,0)</f>
        <v>03/12/19</v>
      </c>
      <c r="AX8" s="26"/>
      <c r="AY8" s="19" t="s">
        <v>341</v>
      </c>
      <c r="AZ8" s="2">
        <v>970</v>
      </c>
      <c r="BA8" s="26">
        <f>AZ8/7</f>
        <v>138.57142857142858</v>
      </c>
      <c r="BB8" s="26"/>
      <c r="BC8" s="25"/>
      <c r="BD8" s="19" t="s">
        <v>53</v>
      </c>
      <c r="BE8" s="2">
        <v>244</v>
      </c>
      <c r="BF8" s="2">
        <v>98</v>
      </c>
      <c r="BG8" s="2">
        <v>116</v>
      </c>
      <c r="BH8" s="2">
        <v>171</v>
      </c>
      <c r="BI8" s="2">
        <v>21</v>
      </c>
      <c r="BJ8" s="2">
        <v>176</v>
      </c>
      <c r="BK8" s="2">
        <v>135</v>
      </c>
      <c r="BL8" s="2">
        <v>961</v>
      </c>
      <c r="BM8" s="2"/>
      <c r="BN8" s="2"/>
      <c r="BO8" s="20" t="s">
        <v>46</v>
      </c>
      <c r="BP8" s="25">
        <f t="shared" si="8"/>
        <v>138.57142857142858</v>
      </c>
      <c r="BQ8" s="25">
        <f>VLOOKUP($BO8, $BD$7:$BL$875, 3,FALSE)/7</f>
        <v>21.285714285714285</v>
      </c>
      <c r="BR8" s="25">
        <f t="shared" si="10"/>
        <v>13.857142857142858</v>
      </c>
      <c r="BS8" s="25">
        <f t="shared" si="11"/>
        <v>17.714285714285715</v>
      </c>
      <c r="BT8" s="25">
        <f t="shared" si="12"/>
        <v>7.5714285714285712</v>
      </c>
      <c r="BU8" s="25">
        <f t="shared" si="13"/>
        <v>30.714285714285715</v>
      </c>
      <c r="BV8" s="25">
        <f t="shared" si="14"/>
        <v>17.857142857142858</v>
      </c>
      <c r="BW8" s="25">
        <f t="shared" ref="BW8:BW18" si="15">VLOOKUP($BO8, $BD$7:$BL$875, 6,FALSE)/7</f>
        <v>29.571428571428573</v>
      </c>
      <c r="BX8" s="25"/>
      <c r="BY8" s="25"/>
      <c r="BZ8" s="2"/>
      <c r="CA8" s="19" t="s">
        <v>66</v>
      </c>
      <c r="CB8" s="2">
        <v>0</v>
      </c>
      <c r="CC8" s="2">
        <v>0</v>
      </c>
      <c r="CD8" s="2">
        <v>0</v>
      </c>
      <c r="CE8" s="2">
        <v>0</v>
      </c>
      <c r="CF8" s="2">
        <v>0</v>
      </c>
      <c r="CG8" s="2">
        <v>0</v>
      </c>
      <c r="CH8" s="2">
        <v>0</v>
      </c>
      <c r="CI8" s="2">
        <v>0</v>
      </c>
      <c r="CJ8" s="2">
        <v>0</v>
      </c>
      <c r="CK8" s="2">
        <v>0</v>
      </c>
      <c r="CL8" s="2">
        <v>0</v>
      </c>
      <c r="CM8" s="2">
        <v>0</v>
      </c>
      <c r="CN8" s="2">
        <v>0</v>
      </c>
      <c r="CP8" s="2"/>
      <c r="CR8" s="19" t="s">
        <v>295</v>
      </c>
      <c r="CS8" s="2">
        <v>176</v>
      </c>
      <c r="CU8" t="str">
        <f>INDEX(CR6:CR1048576,CU7,0)</f>
        <v>06/12/19</v>
      </c>
    </row>
    <row r="9" spans="2:99" x14ac:dyDescent="0.25">
      <c r="B9" s="19" t="s">
        <v>350</v>
      </c>
      <c r="C9" s="2">
        <v>3135</v>
      </c>
      <c r="D9" s="20"/>
      <c r="E9" s="20">
        <f t="shared" ref="E9:E20" si="16">C9/7</f>
        <v>447.85714285714283</v>
      </c>
      <c r="F9" s="20"/>
      <c r="G9" s="19" t="s">
        <v>54</v>
      </c>
      <c r="H9" s="2">
        <v>1005</v>
      </c>
      <c r="I9" s="2">
        <v>413</v>
      </c>
      <c r="J9" s="2">
        <v>1090</v>
      </c>
      <c r="K9" s="2">
        <v>358</v>
      </c>
      <c r="L9" s="2">
        <v>84</v>
      </c>
      <c r="M9" s="2">
        <v>334</v>
      </c>
      <c r="N9" s="2">
        <v>766</v>
      </c>
      <c r="O9" s="2">
        <v>4050</v>
      </c>
      <c r="P9" s="2"/>
      <c r="Q9" s="25"/>
      <c r="R9" s="20" t="s">
        <v>49</v>
      </c>
      <c r="S9" s="25">
        <f t="shared" si="0"/>
        <v>804.28571428571433</v>
      </c>
      <c r="T9" s="25">
        <f t="shared" si="1"/>
        <v>53.714285714285715</v>
      </c>
      <c r="U9" s="25">
        <f t="shared" si="2"/>
        <v>130.28571428571428</v>
      </c>
      <c r="V9" s="25">
        <f t="shared" si="3"/>
        <v>151.85714285714286</v>
      </c>
      <c r="W9" s="25">
        <f t="shared" si="4"/>
        <v>222.71428571428572</v>
      </c>
      <c r="X9" s="25">
        <f t="shared" si="5"/>
        <v>121.57142857142857</v>
      </c>
      <c r="Y9" s="25">
        <f t="shared" si="6"/>
        <v>94.857142857142861</v>
      </c>
      <c r="Z9" s="25">
        <f t="shared" si="7"/>
        <v>29.285714285714285</v>
      </c>
      <c r="AA9" s="25"/>
      <c r="AB9" s="25"/>
      <c r="AC9" s="19" t="s">
        <v>67</v>
      </c>
      <c r="AD9" s="2">
        <v>19</v>
      </c>
      <c r="AE9" s="2">
        <v>15</v>
      </c>
      <c r="AF9" s="2">
        <v>0</v>
      </c>
      <c r="AG9" s="2">
        <v>0</v>
      </c>
      <c r="AH9" s="2">
        <v>0</v>
      </c>
      <c r="AI9" s="2">
        <v>6</v>
      </c>
      <c r="AJ9" s="2">
        <v>112</v>
      </c>
      <c r="AK9" s="2">
        <v>551</v>
      </c>
      <c r="AL9" s="2">
        <v>612</v>
      </c>
      <c r="AM9" s="2">
        <v>25</v>
      </c>
      <c r="AN9" s="2">
        <v>0</v>
      </c>
      <c r="AO9" s="2">
        <v>0</v>
      </c>
      <c r="AP9" s="2">
        <v>5</v>
      </c>
      <c r="AS9" s="19" t="s">
        <v>296</v>
      </c>
      <c r="AT9" s="2">
        <v>946</v>
      </c>
      <c r="AX9" s="26"/>
      <c r="AY9" s="19" t="s">
        <v>350</v>
      </c>
      <c r="AZ9" s="2">
        <v>592</v>
      </c>
      <c r="BA9" s="26">
        <f t="shared" ref="BA9:BA19" si="17">AZ9/7</f>
        <v>84.571428571428569</v>
      </c>
      <c r="BB9" s="26"/>
      <c r="BC9" s="25"/>
      <c r="BD9" s="19" t="s">
        <v>54</v>
      </c>
      <c r="BE9" s="2">
        <v>190</v>
      </c>
      <c r="BF9" s="2">
        <v>116</v>
      </c>
      <c r="BG9" s="2">
        <v>156</v>
      </c>
      <c r="BH9" s="2">
        <v>103</v>
      </c>
      <c r="BI9" s="2">
        <v>12</v>
      </c>
      <c r="BJ9" s="2">
        <v>90</v>
      </c>
      <c r="BK9" s="2">
        <v>212</v>
      </c>
      <c r="BL9" s="2">
        <v>879</v>
      </c>
      <c r="BM9" s="2"/>
      <c r="BN9" s="2"/>
      <c r="BO9" s="20" t="s">
        <v>47</v>
      </c>
      <c r="BP9" s="25">
        <f t="shared" si="8"/>
        <v>84.571428571428569</v>
      </c>
      <c r="BQ9" s="25">
        <f t="shared" si="9"/>
        <v>16.142857142857142</v>
      </c>
      <c r="BR9" s="25">
        <f t="shared" si="10"/>
        <v>7.5714285714285712</v>
      </c>
      <c r="BS9" s="25">
        <f t="shared" si="11"/>
        <v>16.571428571428573</v>
      </c>
      <c r="BT9" s="25">
        <f t="shared" si="12"/>
        <v>3</v>
      </c>
      <c r="BU9" s="25">
        <f t="shared" si="13"/>
        <v>11.857142857142858</v>
      </c>
      <c r="BV9" s="25">
        <f t="shared" si="14"/>
        <v>7.1428571428571432</v>
      </c>
      <c r="BW9" s="25">
        <f t="shared" si="15"/>
        <v>22.285714285714285</v>
      </c>
      <c r="BX9" s="25"/>
      <c r="BY9" s="25"/>
      <c r="BZ9" s="2"/>
      <c r="CA9" s="19" t="s">
        <v>67</v>
      </c>
      <c r="CB9" s="2">
        <v>0</v>
      </c>
      <c r="CC9" s="2">
        <v>1</v>
      </c>
      <c r="CD9" s="2">
        <v>0</v>
      </c>
      <c r="CE9" s="2">
        <v>0</v>
      </c>
      <c r="CF9" s="2">
        <v>1</v>
      </c>
      <c r="CG9" s="2">
        <v>5</v>
      </c>
      <c r="CH9" s="2">
        <v>0</v>
      </c>
      <c r="CI9" s="2">
        <v>0</v>
      </c>
      <c r="CJ9" s="2">
        <v>0</v>
      </c>
      <c r="CK9" s="2">
        <v>2</v>
      </c>
      <c r="CL9" s="2">
        <v>20</v>
      </c>
      <c r="CM9" s="2">
        <v>18</v>
      </c>
      <c r="CN9" s="2">
        <v>64</v>
      </c>
      <c r="CP9" s="2"/>
      <c r="CR9" s="19" t="s">
        <v>296</v>
      </c>
      <c r="CS9" s="2">
        <v>161</v>
      </c>
    </row>
    <row r="10" spans="2:99" x14ac:dyDescent="0.25">
      <c r="B10" s="19" t="s">
        <v>359</v>
      </c>
      <c r="C10" s="2">
        <v>3882</v>
      </c>
      <c r="D10" s="20"/>
      <c r="E10" s="20">
        <f t="shared" si="16"/>
        <v>554.57142857142856</v>
      </c>
      <c r="F10" s="20"/>
      <c r="G10" s="19" t="s">
        <v>55</v>
      </c>
      <c r="H10" s="2">
        <v>758</v>
      </c>
      <c r="I10" s="2">
        <v>178</v>
      </c>
      <c r="J10" s="2">
        <v>1010</v>
      </c>
      <c r="K10" s="2">
        <v>594</v>
      </c>
      <c r="L10" s="2">
        <v>159</v>
      </c>
      <c r="M10" s="2">
        <v>281</v>
      </c>
      <c r="N10" s="2">
        <v>569</v>
      </c>
      <c r="O10" s="2">
        <v>3549</v>
      </c>
      <c r="P10" s="2"/>
      <c r="Q10" s="25"/>
      <c r="R10" s="20" t="s">
        <v>50</v>
      </c>
      <c r="S10" s="25">
        <f t="shared" si="0"/>
        <v>626.71428571428567</v>
      </c>
      <c r="T10" s="25">
        <f t="shared" si="1"/>
        <v>33</v>
      </c>
      <c r="U10" s="25">
        <f t="shared" si="2"/>
        <v>94.714285714285708</v>
      </c>
      <c r="V10" s="25">
        <f t="shared" si="3"/>
        <v>103.57142857142857</v>
      </c>
      <c r="W10" s="25">
        <f t="shared" si="4"/>
        <v>209.71428571428572</v>
      </c>
      <c r="X10" s="25">
        <f t="shared" si="5"/>
        <v>78.142857142857139</v>
      </c>
      <c r="Y10" s="25">
        <f t="shared" si="6"/>
        <v>79.571428571428569</v>
      </c>
      <c r="Z10" s="25">
        <f t="shared" si="7"/>
        <v>28</v>
      </c>
      <c r="AA10" s="25"/>
      <c r="AB10" s="25"/>
      <c r="AC10" s="19" t="s">
        <v>68</v>
      </c>
      <c r="AD10" s="2">
        <v>0</v>
      </c>
      <c r="AE10" s="2">
        <v>0</v>
      </c>
      <c r="AF10" s="2">
        <v>0</v>
      </c>
      <c r="AG10" s="2">
        <v>0</v>
      </c>
      <c r="AH10" s="2">
        <v>0</v>
      </c>
      <c r="AI10" s="2">
        <v>0</v>
      </c>
      <c r="AJ10" s="2">
        <v>0</v>
      </c>
      <c r="AK10" s="2">
        <v>0</v>
      </c>
      <c r="AL10" s="2">
        <v>9</v>
      </c>
      <c r="AM10" s="2">
        <v>0</v>
      </c>
      <c r="AN10" s="2">
        <v>0</v>
      </c>
      <c r="AO10" s="2">
        <v>0</v>
      </c>
      <c r="AP10" s="2">
        <v>0</v>
      </c>
      <c r="AS10" s="19" t="s">
        <v>297</v>
      </c>
      <c r="AT10" s="2">
        <v>995</v>
      </c>
      <c r="AX10" s="26"/>
      <c r="AY10" s="19" t="s">
        <v>359</v>
      </c>
      <c r="AZ10" s="2">
        <v>522</v>
      </c>
      <c r="BA10" s="26">
        <f t="shared" si="17"/>
        <v>74.571428571428569</v>
      </c>
      <c r="BB10" s="26"/>
      <c r="BC10" s="25"/>
      <c r="BD10" s="19" t="s">
        <v>55</v>
      </c>
      <c r="BE10" s="2">
        <v>161</v>
      </c>
      <c r="BF10" s="2">
        <v>72</v>
      </c>
      <c r="BG10" s="2">
        <v>112</v>
      </c>
      <c r="BH10" s="2">
        <v>124</v>
      </c>
      <c r="BI10" s="2">
        <v>21</v>
      </c>
      <c r="BJ10" s="2">
        <v>56</v>
      </c>
      <c r="BK10" s="2">
        <v>179</v>
      </c>
      <c r="BL10" s="2">
        <v>725</v>
      </c>
      <c r="BM10" s="2"/>
      <c r="BN10" s="2"/>
      <c r="BO10" s="20" t="s">
        <v>48</v>
      </c>
      <c r="BP10" s="25">
        <f t="shared" si="8"/>
        <v>74.571428571428569</v>
      </c>
      <c r="BQ10" s="25">
        <f t="shared" si="9"/>
        <v>10.285714285714286</v>
      </c>
      <c r="BR10" s="25">
        <f t="shared" si="10"/>
        <v>10</v>
      </c>
      <c r="BS10" s="25">
        <f>VLOOKUP($BO10, $BD$7:$BL$875, 5,FALSE)/7</f>
        <v>6.8571428571428568</v>
      </c>
      <c r="BT10" s="25">
        <f t="shared" si="12"/>
        <v>10.714285714285714</v>
      </c>
      <c r="BU10" s="25">
        <f t="shared" si="13"/>
        <v>14.857142857142858</v>
      </c>
      <c r="BV10" s="25">
        <f t="shared" si="14"/>
        <v>14.142857142857142</v>
      </c>
      <c r="BW10" s="25">
        <f t="shared" si="15"/>
        <v>7.7142857142857144</v>
      </c>
      <c r="BX10" s="25"/>
      <c r="BY10" s="25"/>
      <c r="BZ10" s="2"/>
      <c r="CA10" s="19" t="s">
        <v>68</v>
      </c>
      <c r="CB10" s="2">
        <v>0</v>
      </c>
      <c r="CC10" s="2">
        <v>0</v>
      </c>
      <c r="CD10" s="2">
        <v>0</v>
      </c>
      <c r="CE10" s="2">
        <v>0</v>
      </c>
      <c r="CF10" s="2">
        <v>0</v>
      </c>
      <c r="CG10" s="2">
        <v>0</v>
      </c>
      <c r="CH10" s="2">
        <v>0</v>
      </c>
      <c r="CI10" s="2">
        <v>0</v>
      </c>
      <c r="CJ10" s="2">
        <v>0</v>
      </c>
      <c r="CK10" s="2">
        <v>0</v>
      </c>
      <c r="CL10" s="2">
        <v>0</v>
      </c>
      <c r="CM10" s="2">
        <v>0</v>
      </c>
      <c r="CN10" s="2">
        <v>9</v>
      </c>
      <c r="CP10" s="2"/>
      <c r="CR10" s="19" t="s">
        <v>297</v>
      </c>
      <c r="CS10" s="2">
        <v>203</v>
      </c>
    </row>
    <row r="11" spans="2:99" x14ac:dyDescent="0.25">
      <c r="B11" s="19" t="s">
        <v>368</v>
      </c>
      <c r="C11" s="2">
        <v>5630</v>
      </c>
      <c r="D11" s="20"/>
      <c r="E11" s="20">
        <f t="shared" si="16"/>
        <v>804.28571428571433</v>
      </c>
      <c r="F11" s="20"/>
      <c r="G11" s="19" t="s">
        <v>56</v>
      </c>
      <c r="H11" s="2">
        <v>625</v>
      </c>
      <c r="I11" s="2">
        <v>78</v>
      </c>
      <c r="J11" s="2">
        <v>1503</v>
      </c>
      <c r="K11" s="2">
        <v>957</v>
      </c>
      <c r="L11" s="2">
        <v>227</v>
      </c>
      <c r="M11" s="2">
        <v>518</v>
      </c>
      <c r="N11" s="2">
        <v>349</v>
      </c>
      <c r="O11" s="2">
        <v>4257</v>
      </c>
      <c r="P11" s="2"/>
      <c r="Q11" s="25"/>
      <c r="R11" s="20" t="s">
        <v>51</v>
      </c>
      <c r="S11" s="25">
        <f t="shared" si="0"/>
        <v>773.42857142857144</v>
      </c>
      <c r="T11" s="25">
        <f t="shared" si="1"/>
        <v>44.142857142857146</v>
      </c>
      <c r="U11" s="25">
        <f t="shared" si="2"/>
        <v>181</v>
      </c>
      <c r="V11" s="25">
        <f t="shared" si="3"/>
        <v>96.714285714285708</v>
      </c>
      <c r="W11" s="25">
        <f t="shared" si="4"/>
        <v>225.85714285714286</v>
      </c>
      <c r="X11" s="25">
        <f t="shared" si="5"/>
        <v>110.85714285714286</v>
      </c>
      <c r="Y11" s="25">
        <f t="shared" si="6"/>
        <v>96.571428571428569</v>
      </c>
      <c r="Z11" s="25">
        <f t="shared" si="7"/>
        <v>18.285714285714285</v>
      </c>
      <c r="AA11" s="25"/>
      <c r="AB11" s="25"/>
      <c r="AC11" s="19" t="s">
        <v>69</v>
      </c>
      <c r="AD11" s="2">
        <v>0</v>
      </c>
      <c r="AE11" s="2">
        <v>0</v>
      </c>
      <c r="AF11" s="2">
        <v>0</v>
      </c>
      <c r="AG11" s="2">
        <v>0</v>
      </c>
      <c r="AH11" s="2">
        <v>0</v>
      </c>
      <c r="AI11" s="2">
        <v>0</v>
      </c>
      <c r="AJ11" s="2">
        <v>0</v>
      </c>
      <c r="AK11" s="2">
        <v>0</v>
      </c>
      <c r="AL11" s="2">
        <v>0</v>
      </c>
      <c r="AM11" s="2">
        <v>0</v>
      </c>
      <c r="AN11" s="2">
        <v>0</v>
      </c>
      <c r="AO11" s="2">
        <v>0</v>
      </c>
      <c r="AP11" s="2">
        <v>0</v>
      </c>
      <c r="AS11" s="19" t="s">
        <v>298</v>
      </c>
      <c r="AT11" s="2">
        <v>950</v>
      </c>
      <c r="AX11" s="26"/>
      <c r="AY11" s="19" t="s">
        <v>368</v>
      </c>
      <c r="AZ11" s="2">
        <v>864</v>
      </c>
      <c r="BA11" s="26">
        <f t="shared" si="17"/>
        <v>123.42857142857143</v>
      </c>
      <c r="BB11" s="26"/>
      <c r="BC11" s="25"/>
      <c r="BD11" s="19" t="s">
        <v>56</v>
      </c>
      <c r="BE11" s="2">
        <v>160</v>
      </c>
      <c r="BF11" s="2">
        <v>7</v>
      </c>
      <c r="BG11" s="2">
        <v>223</v>
      </c>
      <c r="BH11" s="2">
        <v>248</v>
      </c>
      <c r="BI11" s="2">
        <v>40</v>
      </c>
      <c r="BJ11" s="2">
        <v>123</v>
      </c>
      <c r="BK11" s="2">
        <v>79</v>
      </c>
      <c r="BL11" s="2">
        <v>880</v>
      </c>
      <c r="BM11" s="2"/>
      <c r="BN11" s="2"/>
      <c r="BO11" s="20" t="s">
        <v>49</v>
      </c>
      <c r="BP11" s="25">
        <f t="shared" si="8"/>
        <v>123.42857142857143</v>
      </c>
      <c r="BQ11" s="25">
        <f t="shared" si="9"/>
        <v>8</v>
      </c>
      <c r="BR11" s="25">
        <f t="shared" si="10"/>
        <v>16</v>
      </c>
      <c r="BS11" s="25">
        <f t="shared" si="11"/>
        <v>23.428571428571427</v>
      </c>
      <c r="BT11" s="25">
        <f t="shared" si="12"/>
        <v>35</v>
      </c>
      <c r="BU11" s="25">
        <f t="shared" si="13"/>
        <v>24.571428571428573</v>
      </c>
      <c r="BV11" s="25">
        <f t="shared" si="14"/>
        <v>14.285714285714286</v>
      </c>
      <c r="BW11" s="25">
        <f t="shared" si="15"/>
        <v>2.1428571428571428</v>
      </c>
      <c r="BX11" s="25"/>
      <c r="BY11" s="25"/>
      <c r="BZ11" s="2"/>
      <c r="CA11" s="19" t="s">
        <v>69</v>
      </c>
      <c r="CB11" s="2">
        <v>0</v>
      </c>
      <c r="CC11" s="2">
        <v>0</v>
      </c>
      <c r="CD11" s="2">
        <v>0</v>
      </c>
      <c r="CE11" s="2">
        <v>0</v>
      </c>
      <c r="CF11" s="2">
        <v>0</v>
      </c>
      <c r="CG11" s="2">
        <v>0</v>
      </c>
      <c r="CH11" s="2">
        <v>0</v>
      </c>
      <c r="CI11" s="2">
        <v>0</v>
      </c>
      <c r="CJ11" s="2">
        <v>0</v>
      </c>
      <c r="CK11" s="2">
        <v>0</v>
      </c>
      <c r="CL11" s="2">
        <v>0</v>
      </c>
      <c r="CM11" s="2">
        <v>0</v>
      </c>
      <c r="CN11" s="2">
        <v>0</v>
      </c>
      <c r="CP11" s="2"/>
      <c r="CR11" s="19" t="s">
        <v>298</v>
      </c>
      <c r="CS11" s="2">
        <v>159</v>
      </c>
    </row>
    <row r="12" spans="2:99" x14ac:dyDescent="0.25">
      <c r="B12" s="19" t="s">
        <v>377</v>
      </c>
      <c r="C12" s="2">
        <v>4387</v>
      </c>
      <c r="D12" s="20"/>
      <c r="E12" s="20">
        <f t="shared" si="16"/>
        <v>626.71428571428567</v>
      </c>
      <c r="F12" s="20"/>
      <c r="G12" s="19" t="s">
        <v>45</v>
      </c>
      <c r="H12" s="2">
        <v>378</v>
      </c>
      <c r="I12" s="2">
        <v>262</v>
      </c>
      <c r="J12" s="2">
        <v>1181</v>
      </c>
      <c r="K12" s="2">
        <v>904</v>
      </c>
      <c r="L12" s="2">
        <v>1379</v>
      </c>
      <c r="M12" s="2">
        <v>509</v>
      </c>
      <c r="N12" s="2">
        <v>1634</v>
      </c>
      <c r="O12" s="2">
        <v>6247</v>
      </c>
      <c r="P12" s="2"/>
      <c r="Q12" s="25"/>
      <c r="R12" s="20" t="s">
        <v>52</v>
      </c>
      <c r="S12" s="25">
        <f t="shared" si="0"/>
        <v>775</v>
      </c>
      <c r="T12" s="25">
        <f t="shared" si="1"/>
        <v>62.857142857142854</v>
      </c>
      <c r="U12" s="25">
        <f>VLOOKUP($R12,$G$7:$O$1048576,4,FALSE)/7</f>
        <v>127.85714285714286</v>
      </c>
      <c r="V12" s="25">
        <f t="shared" si="3"/>
        <v>110.28571428571429</v>
      </c>
      <c r="W12" s="25">
        <f t="shared" si="4"/>
        <v>188.42857142857142</v>
      </c>
      <c r="X12" s="25">
        <f t="shared" si="5"/>
        <v>161.57142857142858</v>
      </c>
      <c r="Y12" s="25">
        <f>VLOOKUP($R12,$G$7:$O$1048576,2,FALSE)/7</f>
        <v>99.857142857142861</v>
      </c>
      <c r="Z12" s="25">
        <f t="shared" si="7"/>
        <v>24.142857142857142</v>
      </c>
      <c r="AA12" s="25"/>
      <c r="AB12" s="25"/>
      <c r="AC12" s="19" t="s">
        <v>70</v>
      </c>
      <c r="AD12" s="2">
        <v>0</v>
      </c>
      <c r="AE12" s="2">
        <v>0</v>
      </c>
      <c r="AF12" s="2">
        <v>0</v>
      </c>
      <c r="AG12" s="2">
        <v>0</v>
      </c>
      <c r="AH12" s="2">
        <v>0</v>
      </c>
      <c r="AI12" s="2">
        <v>0</v>
      </c>
      <c r="AJ12" s="2">
        <v>27</v>
      </c>
      <c r="AK12" s="2">
        <v>15</v>
      </c>
      <c r="AL12" s="2">
        <v>0</v>
      </c>
      <c r="AM12" s="2">
        <v>0</v>
      </c>
      <c r="AN12" s="2">
        <v>0</v>
      </c>
      <c r="AO12" s="2">
        <v>0</v>
      </c>
      <c r="AP12" s="2">
        <v>0</v>
      </c>
      <c r="AS12" s="19" t="s">
        <v>299</v>
      </c>
      <c r="AT12" s="2">
        <v>948</v>
      </c>
      <c r="AX12" s="26"/>
      <c r="AY12" s="19" t="s">
        <v>377</v>
      </c>
      <c r="AZ12" s="2">
        <v>697</v>
      </c>
      <c r="BA12" s="26">
        <f t="shared" si="17"/>
        <v>99.571428571428569</v>
      </c>
      <c r="BB12" s="26"/>
      <c r="BC12" s="25"/>
      <c r="BD12" s="19" t="s">
        <v>45</v>
      </c>
      <c r="BE12" s="2">
        <v>117</v>
      </c>
      <c r="BF12" s="2">
        <v>119</v>
      </c>
      <c r="BG12" s="2">
        <v>172</v>
      </c>
      <c r="BH12" s="2">
        <v>115</v>
      </c>
      <c r="BI12" s="2">
        <v>220</v>
      </c>
      <c r="BJ12" s="2">
        <v>59</v>
      </c>
      <c r="BK12" s="2">
        <v>223</v>
      </c>
      <c r="BL12" s="2">
        <v>1025</v>
      </c>
      <c r="BM12" s="2"/>
      <c r="BN12" s="2"/>
      <c r="BO12" s="20" t="s">
        <v>50</v>
      </c>
      <c r="BP12" s="25">
        <f t="shared" si="8"/>
        <v>99.571428571428569</v>
      </c>
      <c r="BQ12" s="25">
        <f>VLOOKUP($BO12, $BD$7:$BL$875, 3,FALSE)/7</f>
        <v>5</v>
      </c>
      <c r="BR12" s="25">
        <f t="shared" si="10"/>
        <v>11.285714285714286</v>
      </c>
      <c r="BS12" s="25">
        <f t="shared" si="11"/>
        <v>21.571428571428573</v>
      </c>
      <c r="BT12" s="25">
        <f t="shared" si="12"/>
        <v>31.714285714285715</v>
      </c>
      <c r="BU12" s="25">
        <f t="shared" si="13"/>
        <v>10.714285714285714</v>
      </c>
      <c r="BV12" s="25">
        <f t="shared" si="14"/>
        <v>16.285714285714285</v>
      </c>
      <c r="BW12" s="25">
        <f t="shared" si="15"/>
        <v>3</v>
      </c>
      <c r="BX12" s="25"/>
      <c r="BY12" s="25"/>
      <c r="BZ12" s="2"/>
      <c r="CA12" s="19" t="s">
        <v>70</v>
      </c>
      <c r="CB12" s="2">
        <v>0</v>
      </c>
      <c r="CC12" s="2">
        <v>0</v>
      </c>
      <c r="CD12" s="2">
        <v>0</v>
      </c>
      <c r="CE12" s="2">
        <v>0</v>
      </c>
      <c r="CF12" s="2">
        <v>0</v>
      </c>
      <c r="CG12" s="2">
        <v>0</v>
      </c>
      <c r="CH12" s="2">
        <v>0</v>
      </c>
      <c r="CI12" s="2">
        <v>0</v>
      </c>
      <c r="CJ12" s="2">
        <v>0</v>
      </c>
      <c r="CK12" s="2">
        <v>0</v>
      </c>
      <c r="CL12" s="2">
        <v>0</v>
      </c>
      <c r="CM12" s="2">
        <v>0</v>
      </c>
      <c r="CN12" s="2">
        <v>0</v>
      </c>
      <c r="CP12" s="2"/>
      <c r="CR12" s="19" t="s">
        <v>299</v>
      </c>
      <c r="CS12" s="2">
        <v>133</v>
      </c>
    </row>
    <row r="13" spans="2:99" x14ac:dyDescent="0.25">
      <c r="B13" s="19" t="s">
        <v>386</v>
      </c>
      <c r="C13" s="2">
        <v>5414</v>
      </c>
      <c r="D13" s="20"/>
      <c r="E13" s="20">
        <f t="shared" si="16"/>
        <v>773.42857142857144</v>
      </c>
      <c r="F13" s="20"/>
      <c r="G13" s="19" t="s">
        <v>46</v>
      </c>
      <c r="H13" s="2">
        <v>465</v>
      </c>
      <c r="I13" s="2">
        <v>627</v>
      </c>
      <c r="J13" s="2">
        <v>533</v>
      </c>
      <c r="K13" s="2">
        <v>998</v>
      </c>
      <c r="L13" s="2">
        <v>1531</v>
      </c>
      <c r="M13" s="2">
        <v>410</v>
      </c>
      <c r="N13" s="2">
        <v>1029</v>
      </c>
      <c r="O13" s="2">
        <v>5593</v>
      </c>
      <c r="P13" s="2"/>
      <c r="Q13" s="25"/>
      <c r="R13" s="20" t="s">
        <v>53</v>
      </c>
      <c r="S13" s="25">
        <f t="shared" si="0"/>
        <v>657</v>
      </c>
      <c r="T13" s="25">
        <f t="shared" si="1"/>
        <v>76.714285714285708</v>
      </c>
      <c r="U13" s="25">
        <f t="shared" si="2"/>
        <v>132</v>
      </c>
      <c r="V13" s="25">
        <f t="shared" si="3"/>
        <v>124</v>
      </c>
      <c r="W13" s="25">
        <f t="shared" si="4"/>
        <v>102.42857142857143</v>
      </c>
      <c r="X13" s="25">
        <f t="shared" si="5"/>
        <v>103</v>
      </c>
      <c r="Y13" s="25">
        <f t="shared" si="6"/>
        <v>105.71428571428571</v>
      </c>
      <c r="Z13" s="25">
        <f t="shared" si="7"/>
        <v>13.142857142857142</v>
      </c>
      <c r="AA13" s="25"/>
      <c r="AB13" s="25"/>
      <c r="AC13" s="19" t="s">
        <v>71</v>
      </c>
      <c r="AD13" s="2">
        <v>0</v>
      </c>
      <c r="AE13" s="2">
        <v>0</v>
      </c>
      <c r="AF13" s="2">
        <v>0</v>
      </c>
      <c r="AG13" s="2">
        <v>6</v>
      </c>
      <c r="AH13" s="2">
        <v>62</v>
      </c>
      <c r="AI13" s="2">
        <v>4</v>
      </c>
      <c r="AJ13" s="2">
        <v>21</v>
      </c>
      <c r="AK13" s="2">
        <v>21</v>
      </c>
      <c r="AL13" s="2">
        <v>0</v>
      </c>
      <c r="AM13" s="2">
        <v>0</v>
      </c>
      <c r="AN13" s="2">
        <v>4</v>
      </c>
      <c r="AO13" s="2">
        <v>0</v>
      </c>
      <c r="AP13" s="2">
        <v>0</v>
      </c>
      <c r="AS13" s="19" t="s">
        <v>333</v>
      </c>
      <c r="AT13" s="2">
        <v>1011</v>
      </c>
      <c r="AX13" s="26"/>
      <c r="AY13" s="19" t="s">
        <v>386</v>
      </c>
      <c r="AZ13" s="2">
        <v>1020</v>
      </c>
      <c r="BA13" s="26">
        <f t="shared" si="17"/>
        <v>145.71428571428572</v>
      </c>
      <c r="BB13" s="26"/>
      <c r="BC13" s="25"/>
      <c r="BD13" s="19" t="s">
        <v>46</v>
      </c>
      <c r="BE13" s="2">
        <v>125</v>
      </c>
      <c r="BF13" s="2">
        <v>149</v>
      </c>
      <c r="BG13" s="2">
        <v>97</v>
      </c>
      <c r="BH13" s="2">
        <v>124</v>
      </c>
      <c r="BI13" s="2">
        <v>207</v>
      </c>
      <c r="BJ13" s="2">
        <v>53</v>
      </c>
      <c r="BK13" s="2">
        <v>215</v>
      </c>
      <c r="BL13" s="2">
        <v>970</v>
      </c>
      <c r="BM13" s="2"/>
      <c r="BN13" s="2"/>
      <c r="BO13" s="20" t="s">
        <v>51</v>
      </c>
      <c r="BP13" s="25">
        <f t="shared" si="8"/>
        <v>145.71428571428572</v>
      </c>
      <c r="BQ13" s="25">
        <f t="shared" si="9"/>
        <v>7.7142857142857144</v>
      </c>
      <c r="BR13" s="25">
        <f>VLOOKUP($BO13, $BD$7:$BL$875, 4,FALSE)/7</f>
        <v>32.714285714285715</v>
      </c>
      <c r="BS13" s="25">
        <f t="shared" si="11"/>
        <v>20.428571428571427</v>
      </c>
      <c r="BT13" s="25">
        <f t="shared" si="12"/>
        <v>51</v>
      </c>
      <c r="BU13" s="25">
        <f t="shared" si="13"/>
        <v>12.571428571428571</v>
      </c>
      <c r="BV13" s="25">
        <f>VLOOKUP($BO13, $BD$7:$BL$875, 2,FALSE)/7</f>
        <v>18.142857142857142</v>
      </c>
      <c r="BW13" s="25">
        <f t="shared" si="15"/>
        <v>3.1428571428571428</v>
      </c>
      <c r="BX13" s="25"/>
      <c r="BY13" s="25"/>
      <c r="BZ13" s="2"/>
      <c r="CA13" s="19" t="s">
        <v>71</v>
      </c>
      <c r="CB13" s="2">
        <v>0</v>
      </c>
      <c r="CC13" s="2">
        <v>0</v>
      </c>
      <c r="CD13" s="2">
        <v>1</v>
      </c>
      <c r="CE13" s="2">
        <v>0</v>
      </c>
      <c r="CF13" s="2">
        <v>0</v>
      </c>
      <c r="CG13" s="2">
        <v>0</v>
      </c>
      <c r="CH13" s="2">
        <v>0</v>
      </c>
      <c r="CI13" s="2">
        <v>0</v>
      </c>
      <c r="CJ13" s="2">
        <v>46</v>
      </c>
      <c r="CK13" s="2">
        <v>4</v>
      </c>
      <c r="CL13" s="2">
        <v>21</v>
      </c>
      <c r="CM13" s="2">
        <v>21</v>
      </c>
      <c r="CN13" s="2">
        <v>0</v>
      </c>
      <c r="CP13" s="2"/>
      <c r="CR13" s="19" t="s">
        <v>333</v>
      </c>
      <c r="CS13" s="2">
        <v>138</v>
      </c>
    </row>
    <row r="14" spans="2:99" x14ac:dyDescent="0.25">
      <c r="B14" s="19" t="s">
        <v>395</v>
      </c>
      <c r="C14" s="2">
        <v>5425</v>
      </c>
      <c r="D14" s="20"/>
      <c r="E14" s="20">
        <f t="shared" si="16"/>
        <v>775</v>
      </c>
      <c r="F14" s="20"/>
      <c r="G14" s="19" t="s">
        <v>47</v>
      </c>
      <c r="H14" s="2">
        <v>160</v>
      </c>
      <c r="I14" s="2">
        <v>440</v>
      </c>
      <c r="J14" s="2">
        <v>304</v>
      </c>
      <c r="K14" s="2">
        <v>396</v>
      </c>
      <c r="L14" s="2">
        <v>976</v>
      </c>
      <c r="M14" s="2">
        <v>298</v>
      </c>
      <c r="N14" s="2">
        <v>561</v>
      </c>
      <c r="O14" s="2">
        <v>3135</v>
      </c>
      <c r="P14" s="2"/>
      <c r="Q14" s="25"/>
      <c r="R14" s="20" t="s">
        <v>54</v>
      </c>
      <c r="S14" s="25">
        <f t="shared" si="0"/>
        <v>578.57142857142856</v>
      </c>
      <c r="T14" s="25">
        <f t="shared" si="1"/>
        <v>59</v>
      </c>
      <c r="U14" s="25">
        <f t="shared" si="2"/>
        <v>155.71428571428572</v>
      </c>
      <c r="V14" s="25">
        <f t="shared" si="3"/>
        <v>51.142857142857146</v>
      </c>
      <c r="W14" s="25">
        <f t="shared" si="4"/>
        <v>47.714285714285715</v>
      </c>
      <c r="X14" s="25">
        <f t="shared" si="5"/>
        <v>109.42857142857143</v>
      </c>
      <c r="Y14" s="25">
        <f t="shared" si="6"/>
        <v>143.57142857142858</v>
      </c>
      <c r="Z14" s="25">
        <f t="shared" si="7"/>
        <v>12</v>
      </c>
      <c r="AA14" s="25"/>
      <c r="AB14" s="25"/>
      <c r="AC14" s="19" t="s">
        <v>72</v>
      </c>
      <c r="AD14" s="2">
        <v>0</v>
      </c>
      <c r="AE14" s="2">
        <v>0</v>
      </c>
      <c r="AF14" s="2">
        <v>180</v>
      </c>
      <c r="AG14" s="2">
        <v>30</v>
      </c>
      <c r="AH14" s="2">
        <v>0</v>
      </c>
      <c r="AI14" s="2">
        <v>0</v>
      </c>
      <c r="AJ14" s="2">
        <v>0</v>
      </c>
      <c r="AK14" s="2">
        <v>0</v>
      </c>
      <c r="AL14" s="2">
        <v>0</v>
      </c>
      <c r="AM14" s="2">
        <v>0</v>
      </c>
      <c r="AN14" s="2">
        <v>0</v>
      </c>
      <c r="AO14" s="2">
        <v>0</v>
      </c>
      <c r="AP14" s="2">
        <v>0</v>
      </c>
      <c r="AS14" s="19" t="s">
        <v>334</v>
      </c>
      <c r="AT14" s="2">
        <v>928</v>
      </c>
      <c r="AX14" s="26"/>
      <c r="AY14" s="19" t="s">
        <v>395</v>
      </c>
      <c r="AZ14" s="2">
        <v>1023</v>
      </c>
      <c r="BA14" s="26">
        <f t="shared" si="17"/>
        <v>146.14285714285714</v>
      </c>
      <c r="BB14" s="26"/>
      <c r="BC14" s="25"/>
      <c r="BD14" s="19" t="s">
        <v>47</v>
      </c>
      <c r="BE14" s="2">
        <v>50</v>
      </c>
      <c r="BF14" s="2">
        <v>113</v>
      </c>
      <c r="BG14" s="2">
        <v>53</v>
      </c>
      <c r="BH14" s="2">
        <v>116</v>
      </c>
      <c r="BI14" s="2">
        <v>156</v>
      </c>
      <c r="BJ14" s="2">
        <v>21</v>
      </c>
      <c r="BK14" s="2">
        <v>83</v>
      </c>
      <c r="BL14" s="2">
        <v>592</v>
      </c>
      <c r="BM14" s="2"/>
      <c r="BN14" s="2"/>
      <c r="BO14" s="20" t="s">
        <v>52</v>
      </c>
      <c r="BP14" s="25">
        <f t="shared" si="8"/>
        <v>146.14285714285714</v>
      </c>
      <c r="BQ14" s="25">
        <f t="shared" si="9"/>
        <v>11.714285714285714</v>
      </c>
      <c r="BR14" s="25">
        <f t="shared" si="10"/>
        <v>18.285714285714285</v>
      </c>
      <c r="BS14" s="25">
        <f t="shared" si="11"/>
        <v>21.285714285714285</v>
      </c>
      <c r="BT14" s="25">
        <f t="shared" si="12"/>
        <v>31.857142857142858</v>
      </c>
      <c r="BU14" s="25">
        <f>VLOOKUP($BO14, $BD$7:$BL$875, 8,FALSE)/7</f>
        <v>27.714285714285715</v>
      </c>
      <c r="BV14" s="25">
        <f t="shared" si="14"/>
        <v>32.142857142857146</v>
      </c>
      <c r="BW14" s="25">
        <f t="shared" si="15"/>
        <v>3.1428571428571428</v>
      </c>
      <c r="BX14" s="25"/>
      <c r="BY14" s="25"/>
      <c r="BZ14" s="2"/>
      <c r="CA14" s="19" t="s">
        <v>72</v>
      </c>
      <c r="CB14" s="2">
        <v>0</v>
      </c>
      <c r="CC14" s="2">
        <v>0</v>
      </c>
      <c r="CD14" s="2">
        <v>0</v>
      </c>
      <c r="CE14" s="2">
        <v>0</v>
      </c>
      <c r="CF14" s="2">
        <v>0</v>
      </c>
      <c r="CG14" s="2">
        <v>0</v>
      </c>
      <c r="CH14" s="2">
        <v>63</v>
      </c>
      <c r="CI14" s="2">
        <v>14</v>
      </c>
      <c r="CJ14" s="2">
        <v>0</v>
      </c>
      <c r="CK14" s="2">
        <v>0</v>
      </c>
      <c r="CL14" s="2">
        <v>0</v>
      </c>
      <c r="CM14" s="2">
        <v>0</v>
      </c>
      <c r="CN14" s="2">
        <v>0</v>
      </c>
      <c r="CP14" s="2"/>
      <c r="CR14" s="19" t="s">
        <v>334</v>
      </c>
      <c r="CS14" s="2">
        <v>131</v>
      </c>
    </row>
    <row r="15" spans="2:99" x14ac:dyDescent="0.25">
      <c r="B15" s="19" t="s">
        <v>404</v>
      </c>
      <c r="C15" s="2">
        <v>4599</v>
      </c>
      <c r="D15" s="20"/>
      <c r="E15" s="20">
        <f t="shared" si="16"/>
        <v>657</v>
      </c>
      <c r="F15" s="20"/>
      <c r="G15" s="19" t="s">
        <v>48</v>
      </c>
      <c r="H15" s="2">
        <v>397</v>
      </c>
      <c r="I15" s="2">
        <v>342</v>
      </c>
      <c r="J15" s="2">
        <v>859</v>
      </c>
      <c r="K15" s="2">
        <v>351</v>
      </c>
      <c r="L15" s="2">
        <v>510</v>
      </c>
      <c r="M15" s="2">
        <v>550</v>
      </c>
      <c r="N15" s="2">
        <v>873</v>
      </c>
      <c r="O15" s="2">
        <v>3882</v>
      </c>
      <c r="P15" s="2"/>
      <c r="Q15" s="25"/>
      <c r="R15" s="20" t="s">
        <v>55</v>
      </c>
      <c r="S15" s="25">
        <f>VLOOKUP($R15,$G$7:$O$1048576,9,FALSE)/7</f>
        <v>507</v>
      </c>
      <c r="T15" s="25">
        <f t="shared" si="1"/>
        <v>25.428571428571427</v>
      </c>
      <c r="U15" s="25">
        <f t="shared" si="2"/>
        <v>144.28571428571428</v>
      </c>
      <c r="V15" s="25">
        <f t="shared" si="3"/>
        <v>84.857142857142861</v>
      </c>
      <c r="W15" s="25">
        <f t="shared" si="4"/>
        <v>40.142857142857146</v>
      </c>
      <c r="X15" s="25">
        <f t="shared" si="5"/>
        <v>81.285714285714292</v>
      </c>
      <c r="Y15" s="25">
        <f t="shared" si="6"/>
        <v>108.28571428571429</v>
      </c>
      <c r="Z15" s="25">
        <f t="shared" si="7"/>
        <v>22.714285714285715</v>
      </c>
      <c r="AA15" s="25"/>
      <c r="AB15" s="25"/>
      <c r="AC15" s="19" t="s">
        <v>73</v>
      </c>
      <c r="AD15" s="2">
        <v>0</v>
      </c>
      <c r="AE15" s="2">
        <v>0</v>
      </c>
      <c r="AF15" s="2">
        <v>0</v>
      </c>
      <c r="AG15" s="2">
        <v>0</v>
      </c>
      <c r="AH15" s="2">
        <v>0</v>
      </c>
      <c r="AI15" s="2">
        <v>0</v>
      </c>
      <c r="AJ15" s="2">
        <v>0</v>
      </c>
      <c r="AK15" s="2">
        <v>0</v>
      </c>
      <c r="AL15" s="2">
        <v>0</v>
      </c>
      <c r="AM15" s="2">
        <v>0</v>
      </c>
      <c r="AN15" s="2">
        <v>0</v>
      </c>
      <c r="AO15" s="2">
        <v>0</v>
      </c>
      <c r="AP15" s="2">
        <v>0</v>
      </c>
      <c r="AS15" s="19" t="s">
        <v>335</v>
      </c>
      <c r="AT15" s="2">
        <v>820</v>
      </c>
      <c r="AX15" s="26"/>
      <c r="AY15" s="19" t="s">
        <v>404</v>
      </c>
      <c r="AZ15" s="2">
        <v>961</v>
      </c>
      <c r="BA15" s="26">
        <f t="shared" si="17"/>
        <v>137.28571428571428</v>
      </c>
      <c r="BB15" s="26"/>
      <c r="BC15" s="25"/>
      <c r="BD15" s="19" t="s">
        <v>48</v>
      </c>
      <c r="BE15" s="2">
        <v>99</v>
      </c>
      <c r="BF15" s="2">
        <v>72</v>
      </c>
      <c r="BG15" s="2">
        <v>70</v>
      </c>
      <c r="BH15" s="2">
        <v>48</v>
      </c>
      <c r="BI15" s="2">
        <v>54</v>
      </c>
      <c r="BJ15" s="2">
        <v>75</v>
      </c>
      <c r="BK15" s="2">
        <v>104</v>
      </c>
      <c r="BL15" s="2">
        <v>522</v>
      </c>
      <c r="BM15" s="2"/>
      <c r="BN15" s="2"/>
      <c r="BO15" s="20" t="s">
        <v>53</v>
      </c>
      <c r="BP15" s="25">
        <f>VLOOKUP($BO15, $BD$7:$BL$875, 9,FALSE)/7</f>
        <v>137.28571428571428</v>
      </c>
      <c r="BQ15" s="25">
        <f t="shared" si="9"/>
        <v>14</v>
      </c>
      <c r="BR15" s="25">
        <f t="shared" si="10"/>
        <v>16.571428571428573</v>
      </c>
      <c r="BS15" s="25">
        <f t="shared" si="11"/>
        <v>24.428571428571427</v>
      </c>
      <c r="BT15" s="25">
        <f t="shared" si="12"/>
        <v>25.142857142857142</v>
      </c>
      <c r="BU15" s="25">
        <f t="shared" si="13"/>
        <v>19.285714285714285</v>
      </c>
      <c r="BV15" s="25">
        <f t="shared" si="14"/>
        <v>34.857142857142854</v>
      </c>
      <c r="BW15" s="25">
        <f t="shared" si="15"/>
        <v>3</v>
      </c>
      <c r="BX15" s="25"/>
      <c r="BY15" s="25"/>
      <c r="BZ15" s="2"/>
      <c r="CA15" s="19" t="s">
        <v>73</v>
      </c>
      <c r="CB15" s="2">
        <v>0</v>
      </c>
      <c r="CC15" s="2">
        <v>0</v>
      </c>
      <c r="CD15" s="2">
        <v>0</v>
      </c>
      <c r="CE15" s="2">
        <v>0</v>
      </c>
      <c r="CF15" s="2">
        <v>0</v>
      </c>
      <c r="CG15" s="2">
        <v>0</v>
      </c>
      <c r="CH15" s="2">
        <v>0</v>
      </c>
      <c r="CI15" s="2">
        <v>0</v>
      </c>
      <c r="CJ15" s="2">
        <v>0</v>
      </c>
      <c r="CK15" s="2">
        <v>0</v>
      </c>
      <c r="CL15" s="2">
        <v>0</v>
      </c>
      <c r="CM15" s="2">
        <v>0</v>
      </c>
      <c r="CN15" s="2">
        <v>0</v>
      </c>
      <c r="CP15" s="2"/>
      <c r="CQ15" s="2"/>
      <c r="CR15" s="19" t="s">
        <v>335</v>
      </c>
      <c r="CS15" s="2">
        <v>127</v>
      </c>
    </row>
    <row r="16" spans="2:99" x14ac:dyDescent="0.25">
      <c r="B16" s="19" t="s">
        <v>413</v>
      </c>
      <c r="C16" s="2">
        <v>4050</v>
      </c>
      <c r="D16" s="20"/>
      <c r="E16" s="20">
        <f t="shared" si="16"/>
        <v>578.57142857142856</v>
      </c>
      <c r="F16" s="20"/>
      <c r="G16" s="19" t="s">
        <v>49</v>
      </c>
      <c r="H16" s="2">
        <v>664</v>
      </c>
      <c r="I16" s="2">
        <v>376</v>
      </c>
      <c r="J16" s="2">
        <v>912</v>
      </c>
      <c r="K16" s="2">
        <v>1063</v>
      </c>
      <c r="L16" s="2">
        <v>205</v>
      </c>
      <c r="M16" s="2">
        <v>1559</v>
      </c>
      <c r="N16" s="2">
        <v>851</v>
      </c>
      <c r="O16" s="2">
        <v>5630</v>
      </c>
      <c r="P16" s="2"/>
      <c r="Q16" s="25"/>
      <c r="R16" s="20" t="s">
        <v>56</v>
      </c>
      <c r="S16" s="25">
        <f t="shared" si="0"/>
        <v>608.14285714285711</v>
      </c>
      <c r="T16" s="25">
        <f t="shared" si="1"/>
        <v>11.142857142857142</v>
      </c>
      <c r="U16" s="25">
        <f t="shared" si="2"/>
        <v>214.71428571428572</v>
      </c>
      <c r="V16" s="25">
        <f t="shared" si="3"/>
        <v>136.71428571428572</v>
      </c>
      <c r="W16" s="25">
        <f t="shared" si="4"/>
        <v>74</v>
      </c>
      <c r="X16" s="25">
        <f t="shared" si="5"/>
        <v>49.857142857142854</v>
      </c>
      <c r="Y16" s="25">
        <f t="shared" si="6"/>
        <v>89.285714285714292</v>
      </c>
      <c r="Z16" s="25">
        <f t="shared" si="7"/>
        <v>32.428571428571431</v>
      </c>
      <c r="AA16" s="25"/>
      <c r="AB16" s="25"/>
      <c r="AC16" s="19" t="s">
        <v>74</v>
      </c>
      <c r="AD16" s="2">
        <v>0</v>
      </c>
      <c r="AE16" s="2">
        <v>0</v>
      </c>
      <c r="AF16" s="2">
        <v>0</v>
      </c>
      <c r="AG16" s="2">
        <v>0</v>
      </c>
      <c r="AH16" s="2">
        <v>0</v>
      </c>
      <c r="AI16" s="2">
        <v>0</v>
      </c>
      <c r="AJ16" s="2">
        <v>0</v>
      </c>
      <c r="AK16" s="2">
        <v>45</v>
      </c>
      <c r="AL16" s="2">
        <v>77</v>
      </c>
      <c r="AM16" s="2">
        <v>10</v>
      </c>
      <c r="AN16" s="2">
        <v>0</v>
      </c>
      <c r="AO16" s="2">
        <v>0</v>
      </c>
      <c r="AP16" s="2">
        <v>0</v>
      </c>
      <c r="AS16" s="19" t="s">
        <v>336</v>
      </c>
      <c r="AT16" s="2">
        <v>934</v>
      </c>
      <c r="AX16" s="26"/>
      <c r="AY16" s="19" t="s">
        <v>413</v>
      </c>
      <c r="AZ16" s="2">
        <v>879</v>
      </c>
      <c r="BA16" s="26">
        <f t="shared" si="17"/>
        <v>125.57142857142857</v>
      </c>
      <c r="BB16" s="26"/>
      <c r="BC16" s="25"/>
      <c r="BD16" s="19" t="s">
        <v>49</v>
      </c>
      <c r="BE16" s="2">
        <v>100</v>
      </c>
      <c r="BF16" s="2">
        <v>56</v>
      </c>
      <c r="BG16" s="2">
        <v>112</v>
      </c>
      <c r="BH16" s="2">
        <v>164</v>
      </c>
      <c r="BI16" s="2">
        <v>15</v>
      </c>
      <c r="BJ16" s="2">
        <v>245</v>
      </c>
      <c r="BK16" s="2">
        <v>172</v>
      </c>
      <c r="BL16" s="2">
        <v>864</v>
      </c>
      <c r="BM16" s="2"/>
      <c r="BN16" s="2"/>
      <c r="BO16" s="20" t="s">
        <v>54</v>
      </c>
      <c r="BP16" s="25">
        <f t="shared" si="8"/>
        <v>125.57142857142857</v>
      </c>
      <c r="BQ16" s="25">
        <f t="shared" si="9"/>
        <v>16.571428571428573</v>
      </c>
      <c r="BR16" s="25">
        <f t="shared" si="10"/>
        <v>22.285714285714285</v>
      </c>
      <c r="BS16" s="25">
        <f t="shared" si="11"/>
        <v>14.714285714285714</v>
      </c>
      <c r="BT16" s="25">
        <f t="shared" si="12"/>
        <v>12.857142857142858</v>
      </c>
      <c r="BU16" s="25">
        <f t="shared" si="13"/>
        <v>30.285714285714285</v>
      </c>
      <c r="BV16" s="25">
        <f>VLOOKUP($BO16, $BD$7:$BL$875, 2,FALSE)/7</f>
        <v>27.142857142857142</v>
      </c>
      <c r="BW16" s="25">
        <f t="shared" si="15"/>
        <v>1.7142857142857142</v>
      </c>
      <c r="BX16" s="25"/>
      <c r="BY16" s="25"/>
      <c r="BZ16" s="2"/>
      <c r="CA16" s="19" t="s">
        <v>74</v>
      </c>
      <c r="CB16" s="2">
        <v>0</v>
      </c>
      <c r="CC16" s="2">
        <v>1</v>
      </c>
      <c r="CD16" s="2">
        <v>0</v>
      </c>
      <c r="CE16" s="2">
        <v>0</v>
      </c>
      <c r="CF16" s="2">
        <v>0</v>
      </c>
      <c r="CG16" s="2">
        <v>0</v>
      </c>
      <c r="CH16" s="2">
        <v>0</v>
      </c>
      <c r="CI16" s="2">
        <v>0</v>
      </c>
      <c r="CJ16" s="2">
        <v>0</v>
      </c>
      <c r="CK16" s="2">
        <v>0</v>
      </c>
      <c r="CL16" s="2">
        <v>0</v>
      </c>
      <c r="CM16" s="2">
        <v>11</v>
      </c>
      <c r="CN16" s="2">
        <v>9</v>
      </c>
      <c r="CP16" s="2"/>
      <c r="CR16" s="19" t="s">
        <v>336</v>
      </c>
      <c r="CS16" s="2">
        <v>138</v>
      </c>
    </row>
    <row r="17" spans="2:97" x14ac:dyDescent="0.25">
      <c r="B17" s="19" t="s">
        <v>422</v>
      </c>
      <c r="C17" s="2">
        <v>3549</v>
      </c>
      <c r="D17" s="20"/>
      <c r="E17" s="20">
        <f t="shared" si="16"/>
        <v>507</v>
      </c>
      <c r="F17" s="20"/>
      <c r="G17" s="19" t="s">
        <v>50</v>
      </c>
      <c r="H17" s="2">
        <v>557</v>
      </c>
      <c r="I17" s="2">
        <v>231</v>
      </c>
      <c r="J17" s="2">
        <v>663</v>
      </c>
      <c r="K17" s="2">
        <v>725</v>
      </c>
      <c r="L17" s="2">
        <v>196</v>
      </c>
      <c r="M17" s="2">
        <v>1468</v>
      </c>
      <c r="N17" s="2">
        <v>547</v>
      </c>
      <c r="O17" s="2">
        <v>4387</v>
      </c>
      <c r="P17" s="2"/>
      <c r="Q17" s="25"/>
      <c r="R17" s="20"/>
      <c r="S17" s="25"/>
      <c r="T17" s="25"/>
      <c r="U17" s="25"/>
      <c r="V17" s="25"/>
      <c r="W17" s="25"/>
      <c r="X17" s="25"/>
      <c r="Y17" s="26"/>
      <c r="Z17" s="25"/>
      <c r="AA17" s="25"/>
      <c r="AB17" s="25"/>
      <c r="AC17" s="19" t="s">
        <v>75</v>
      </c>
      <c r="AD17" s="2">
        <v>194</v>
      </c>
      <c r="AE17" s="2">
        <v>128</v>
      </c>
      <c r="AF17" s="2">
        <v>57</v>
      </c>
      <c r="AG17" s="2">
        <v>46</v>
      </c>
      <c r="AH17" s="2">
        <v>47</v>
      </c>
      <c r="AI17" s="2">
        <v>67</v>
      </c>
      <c r="AJ17" s="2">
        <v>78</v>
      </c>
      <c r="AK17" s="2">
        <v>40</v>
      </c>
      <c r="AL17" s="2">
        <v>49</v>
      </c>
      <c r="AM17" s="2">
        <v>55</v>
      </c>
      <c r="AN17" s="2">
        <v>81</v>
      </c>
      <c r="AO17" s="2">
        <v>73</v>
      </c>
      <c r="AP17" s="2">
        <v>57</v>
      </c>
      <c r="AS17" s="19" t="s">
        <v>337</v>
      </c>
      <c r="AT17" s="2">
        <v>907</v>
      </c>
      <c r="AX17" s="26"/>
      <c r="AY17" s="19" t="s">
        <v>422</v>
      </c>
      <c r="AZ17" s="2">
        <v>725</v>
      </c>
      <c r="BA17" s="26">
        <f t="shared" si="17"/>
        <v>103.57142857142857</v>
      </c>
      <c r="BB17" s="26"/>
      <c r="BC17" s="25"/>
      <c r="BD17" s="19" t="s">
        <v>50</v>
      </c>
      <c r="BE17" s="2">
        <v>114</v>
      </c>
      <c r="BF17" s="2">
        <v>35</v>
      </c>
      <c r="BG17" s="2">
        <v>79</v>
      </c>
      <c r="BH17" s="2">
        <v>151</v>
      </c>
      <c r="BI17" s="2">
        <v>21</v>
      </c>
      <c r="BJ17" s="2">
        <v>222</v>
      </c>
      <c r="BK17" s="2">
        <v>75</v>
      </c>
      <c r="BL17" s="2">
        <v>697</v>
      </c>
      <c r="BM17" s="2"/>
      <c r="BN17" s="2"/>
      <c r="BO17" s="20" t="s">
        <v>55</v>
      </c>
      <c r="BP17" s="25">
        <f t="shared" si="8"/>
        <v>103.57142857142857</v>
      </c>
      <c r="BQ17" s="25">
        <f t="shared" si="9"/>
        <v>10.285714285714286</v>
      </c>
      <c r="BR17" s="25">
        <f t="shared" si="10"/>
        <v>16</v>
      </c>
      <c r="BS17" s="25">
        <f t="shared" si="11"/>
        <v>17.714285714285715</v>
      </c>
      <c r="BT17" s="25">
        <f t="shared" si="12"/>
        <v>8</v>
      </c>
      <c r="BU17" s="25">
        <f>VLOOKUP($BO17, $BD$7:$BL$875, 8,FALSE)/7</f>
        <v>25.571428571428573</v>
      </c>
      <c r="BV17" s="25">
        <f t="shared" si="14"/>
        <v>23</v>
      </c>
      <c r="BW17" s="25">
        <f>VLOOKUP($BO17, $BD$7:$BL$875, 6,FALSE)/7</f>
        <v>3</v>
      </c>
      <c r="BX17" s="25"/>
      <c r="BY17" s="25"/>
      <c r="BZ17" s="2"/>
      <c r="CA17" s="19" t="s">
        <v>75</v>
      </c>
      <c r="CB17" s="2">
        <v>25</v>
      </c>
      <c r="CC17" s="2">
        <v>8</v>
      </c>
      <c r="CD17" s="2">
        <v>9</v>
      </c>
      <c r="CE17" s="2">
        <v>4</v>
      </c>
      <c r="CF17" s="2">
        <v>2</v>
      </c>
      <c r="CG17" s="2">
        <v>15</v>
      </c>
      <c r="CH17" s="2">
        <v>1</v>
      </c>
      <c r="CI17" s="2">
        <v>3</v>
      </c>
      <c r="CJ17" s="2">
        <v>1</v>
      </c>
      <c r="CK17" s="2">
        <v>3</v>
      </c>
      <c r="CL17" s="2">
        <v>8</v>
      </c>
      <c r="CM17" s="2">
        <v>3</v>
      </c>
      <c r="CN17" s="2">
        <v>1</v>
      </c>
      <c r="CP17" s="2"/>
      <c r="CR17" s="19" t="s">
        <v>337</v>
      </c>
      <c r="CS17" s="2">
        <v>156</v>
      </c>
    </row>
    <row r="18" spans="2:97" x14ac:dyDescent="0.25">
      <c r="B18" s="19" t="s">
        <v>431</v>
      </c>
      <c r="C18" s="2">
        <v>4257</v>
      </c>
      <c r="D18" s="20"/>
      <c r="E18" s="20">
        <f t="shared" si="16"/>
        <v>608.14285714285711</v>
      </c>
      <c r="F18" s="20"/>
      <c r="G18" s="19" t="s">
        <v>51</v>
      </c>
      <c r="H18" s="2">
        <v>676</v>
      </c>
      <c r="I18" s="2">
        <v>309</v>
      </c>
      <c r="J18" s="2">
        <v>1267</v>
      </c>
      <c r="K18" s="2">
        <v>677</v>
      </c>
      <c r="L18" s="2">
        <v>128</v>
      </c>
      <c r="M18" s="2">
        <v>1581</v>
      </c>
      <c r="N18" s="2">
        <v>776</v>
      </c>
      <c r="O18" s="2">
        <v>5414</v>
      </c>
      <c r="P18" s="2"/>
      <c r="Q18" s="25"/>
      <c r="R18" s="25"/>
      <c r="S18" s="25"/>
      <c r="T18" s="25"/>
      <c r="U18" s="25"/>
      <c r="V18" s="25"/>
      <c r="W18" s="25"/>
      <c r="X18" s="25"/>
      <c r="Y18" s="25"/>
      <c r="Z18" s="25"/>
      <c r="AA18" s="25"/>
      <c r="AB18" s="25"/>
      <c r="AC18" s="19" t="s">
        <v>76</v>
      </c>
      <c r="AD18" s="2">
        <v>9</v>
      </c>
      <c r="AE18" s="2">
        <v>5</v>
      </c>
      <c r="AF18" s="2">
        <v>89</v>
      </c>
      <c r="AG18" s="2">
        <v>14</v>
      </c>
      <c r="AH18" s="2">
        <v>2</v>
      </c>
      <c r="AI18" s="2">
        <v>53</v>
      </c>
      <c r="AJ18" s="2">
        <v>44</v>
      </c>
      <c r="AK18" s="2">
        <v>91</v>
      </c>
      <c r="AL18" s="2">
        <v>168</v>
      </c>
      <c r="AM18" s="2">
        <v>82</v>
      </c>
      <c r="AN18" s="2">
        <v>6</v>
      </c>
      <c r="AO18" s="2">
        <v>16</v>
      </c>
      <c r="AP18" s="2">
        <v>8</v>
      </c>
      <c r="AS18" s="19" t="s">
        <v>338</v>
      </c>
      <c r="AT18" s="2">
        <v>809</v>
      </c>
      <c r="AX18" s="26"/>
      <c r="AY18" s="19" t="s">
        <v>431</v>
      </c>
      <c r="AZ18" s="2">
        <v>880</v>
      </c>
      <c r="BA18" s="26">
        <f t="shared" si="17"/>
        <v>125.71428571428571</v>
      </c>
      <c r="BB18" s="26"/>
      <c r="BC18" s="25"/>
      <c r="BD18" s="19" t="s">
        <v>51</v>
      </c>
      <c r="BE18" s="2">
        <v>127</v>
      </c>
      <c r="BF18" s="2">
        <v>54</v>
      </c>
      <c r="BG18" s="2">
        <v>229</v>
      </c>
      <c r="BH18" s="2">
        <v>143</v>
      </c>
      <c r="BI18" s="2">
        <v>22</v>
      </c>
      <c r="BJ18" s="2">
        <v>357</v>
      </c>
      <c r="BK18" s="2">
        <v>88</v>
      </c>
      <c r="BL18" s="2">
        <v>1020</v>
      </c>
      <c r="BM18" s="2"/>
      <c r="BN18" s="2"/>
      <c r="BO18" s="20" t="s">
        <v>56</v>
      </c>
      <c r="BP18" s="25">
        <f t="shared" si="8"/>
        <v>125.71428571428571</v>
      </c>
      <c r="BQ18" s="25">
        <f t="shared" si="9"/>
        <v>1</v>
      </c>
      <c r="BR18" s="25">
        <f t="shared" si="10"/>
        <v>31.857142857142858</v>
      </c>
      <c r="BS18" s="25">
        <f t="shared" si="11"/>
        <v>35.428571428571431</v>
      </c>
      <c r="BT18" s="25">
        <f t="shared" si="12"/>
        <v>17.571428571428573</v>
      </c>
      <c r="BU18" s="25">
        <f t="shared" si="13"/>
        <v>11.285714285714286</v>
      </c>
      <c r="BV18" s="25">
        <f t="shared" si="14"/>
        <v>22.857142857142858</v>
      </c>
      <c r="BW18" s="25">
        <f t="shared" si="15"/>
        <v>5.7142857142857144</v>
      </c>
      <c r="BX18" s="25"/>
      <c r="BY18" s="25"/>
      <c r="BZ18" s="2"/>
      <c r="CA18" s="19" t="s">
        <v>76</v>
      </c>
      <c r="CB18" s="2">
        <v>3</v>
      </c>
      <c r="CC18" s="2">
        <v>20</v>
      </c>
      <c r="CD18" s="2">
        <v>3</v>
      </c>
      <c r="CE18" s="2">
        <v>8</v>
      </c>
      <c r="CF18" s="2">
        <v>4</v>
      </c>
      <c r="CG18" s="2">
        <v>2</v>
      </c>
      <c r="CH18" s="2">
        <v>24</v>
      </c>
      <c r="CI18" s="2">
        <v>7</v>
      </c>
      <c r="CJ18" s="2">
        <v>1</v>
      </c>
      <c r="CK18" s="2">
        <v>7</v>
      </c>
      <c r="CL18" s="2">
        <v>14</v>
      </c>
      <c r="CM18" s="2">
        <v>18</v>
      </c>
      <c r="CN18" s="2">
        <v>29</v>
      </c>
      <c r="CP18" s="2"/>
      <c r="CR18" s="19" t="s">
        <v>338</v>
      </c>
      <c r="CS18" s="2">
        <v>173</v>
      </c>
    </row>
    <row r="19" spans="2:97" x14ac:dyDescent="0.25">
      <c r="D19" s="20"/>
      <c r="E19" s="20">
        <f t="shared" si="16"/>
        <v>0</v>
      </c>
      <c r="F19" s="20"/>
      <c r="G19" s="19" t="s">
        <v>52</v>
      </c>
      <c r="H19" s="2">
        <v>699</v>
      </c>
      <c r="I19" s="2">
        <v>440</v>
      </c>
      <c r="J19" s="2">
        <v>895</v>
      </c>
      <c r="K19" s="2">
        <v>772</v>
      </c>
      <c r="L19" s="2">
        <v>169</v>
      </c>
      <c r="M19" s="2">
        <v>1319</v>
      </c>
      <c r="N19" s="2">
        <v>1131</v>
      </c>
      <c r="O19" s="2">
        <v>5425</v>
      </c>
      <c r="P19" s="2"/>
      <c r="Q19" s="25"/>
      <c r="R19" s="25"/>
      <c r="S19" s="25"/>
      <c r="T19" s="25"/>
      <c r="U19" s="25"/>
      <c r="V19" s="25"/>
      <c r="W19" s="25"/>
      <c r="X19" s="25"/>
      <c r="Y19" s="25"/>
      <c r="Z19" s="25"/>
      <c r="AA19" s="25"/>
      <c r="AB19" s="25"/>
      <c r="AC19" s="19" t="s">
        <v>77</v>
      </c>
      <c r="AD19" s="2">
        <v>0</v>
      </c>
      <c r="AE19" s="2">
        <v>0</v>
      </c>
      <c r="AF19" s="2">
        <v>0</v>
      </c>
      <c r="AG19" s="2">
        <v>0</v>
      </c>
      <c r="AH19" s="2">
        <v>0</v>
      </c>
      <c r="AI19" s="2">
        <v>0</v>
      </c>
      <c r="AJ19" s="2">
        <v>0</v>
      </c>
      <c r="AK19" s="2">
        <v>0</v>
      </c>
      <c r="AL19" s="2">
        <v>0</v>
      </c>
      <c r="AM19" s="2">
        <v>0</v>
      </c>
      <c r="AN19" s="2">
        <v>4</v>
      </c>
      <c r="AO19" s="2">
        <v>0</v>
      </c>
      <c r="AP19" s="2">
        <v>0</v>
      </c>
      <c r="AS19" s="19" t="s">
        <v>339</v>
      </c>
      <c r="AT19" s="2">
        <v>838</v>
      </c>
      <c r="AX19" s="26"/>
      <c r="BA19" s="26">
        <f t="shared" si="17"/>
        <v>0</v>
      </c>
      <c r="BB19" s="26"/>
      <c r="BC19" s="25"/>
      <c r="BD19" s="19" t="s">
        <v>52</v>
      </c>
      <c r="BE19" s="2">
        <v>225</v>
      </c>
      <c r="BF19" s="2">
        <v>82</v>
      </c>
      <c r="BG19" s="2">
        <v>128</v>
      </c>
      <c r="BH19" s="2">
        <v>149</v>
      </c>
      <c r="BI19" s="2">
        <v>22</v>
      </c>
      <c r="BJ19" s="2">
        <v>223</v>
      </c>
      <c r="BK19" s="2">
        <v>194</v>
      </c>
      <c r="BL19" s="2">
        <v>1023</v>
      </c>
      <c r="BM19" s="2"/>
      <c r="BN19" s="2"/>
      <c r="BO19" s="20"/>
      <c r="BP19" s="25"/>
      <c r="BQ19" s="25"/>
      <c r="BR19" s="25"/>
      <c r="BS19" s="25"/>
      <c r="BT19" s="25"/>
      <c r="BU19" s="25"/>
      <c r="BV19" s="25"/>
      <c r="BW19" s="25"/>
      <c r="BX19" s="25"/>
      <c r="BY19" s="25"/>
      <c r="BZ19" s="2"/>
      <c r="CA19" s="19" t="s">
        <v>77</v>
      </c>
      <c r="CB19" s="2">
        <v>0</v>
      </c>
      <c r="CC19" s="2">
        <v>0</v>
      </c>
      <c r="CD19" s="2">
        <v>4</v>
      </c>
      <c r="CE19" s="2">
        <v>0</v>
      </c>
      <c r="CF19" s="2">
        <v>0</v>
      </c>
      <c r="CG19" s="2">
        <v>0</v>
      </c>
      <c r="CH19" s="2">
        <v>0</v>
      </c>
      <c r="CI19" s="2">
        <v>0</v>
      </c>
      <c r="CJ19" s="2">
        <v>0</v>
      </c>
      <c r="CK19" s="2">
        <v>0</v>
      </c>
      <c r="CL19" s="2">
        <v>0</v>
      </c>
      <c r="CM19" s="2">
        <v>0</v>
      </c>
      <c r="CN19" s="2">
        <v>0</v>
      </c>
      <c r="CP19" s="2"/>
      <c r="CR19" s="19" t="s">
        <v>339</v>
      </c>
      <c r="CS19" s="2">
        <v>162</v>
      </c>
    </row>
    <row r="20" spans="2:97" x14ac:dyDescent="0.25">
      <c r="D20" s="20"/>
      <c r="E20" s="20">
        <f t="shared" si="16"/>
        <v>0</v>
      </c>
      <c r="F20" s="20"/>
      <c r="G20" s="19" t="s">
        <v>40</v>
      </c>
      <c r="H20" s="2">
        <v>7258</v>
      </c>
      <c r="I20" s="2">
        <v>4649</v>
      </c>
      <c r="J20" s="2">
        <v>12861</v>
      </c>
      <c r="K20" s="2">
        <v>10070</v>
      </c>
      <c r="L20" s="2">
        <v>7510</v>
      </c>
      <c r="M20" s="2">
        <v>9989</v>
      </c>
      <c r="N20" s="2">
        <v>11011</v>
      </c>
      <c r="O20" s="2">
        <v>63348</v>
      </c>
      <c r="P20" s="2"/>
      <c r="AC20" s="19" t="s">
        <v>78</v>
      </c>
      <c r="AD20" s="2">
        <v>0</v>
      </c>
      <c r="AE20" s="2">
        <v>0</v>
      </c>
      <c r="AF20" s="2">
        <v>0</v>
      </c>
      <c r="AG20" s="2">
        <v>16</v>
      </c>
      <c r="AH20" s="2">
        <v>40</v>
      </c>
      <c r="AI20" s="2">
        <v>238</v>
      </c>
      <c r="AJ20" s="2">
        <v>300</v>
      </c>
      <c r="AK20" s="2">
        <v>64</v>
      </c>
      <c r="AL20" s="2">
        <v>8</v>
      </c>
      <c r="AM20" s="2">
        <v>0</v>
      </c>
      <c r="AN20" s="2">
        <v>0</v>
      </c>
      <c r="AO20" s="2">
        <v>0</v>
      </c>
      <c r="AP20" s="2">
        <v>0</v>
      </c>
      <c r="AS20" s="19" t="s">
        <v>342</v>
      </c>
      <c r="AT20" s="2">
        <v>857</v>
      </c>
      <c r="AX20" s="26"/>
      <c r="BA20" s="26">
        <f>AZ20/7</f>
        <v>0</v>
      </c>
      <c r="BB20" s="26"/>
      <c r="BD20" s="19" t="s">
        <v>40</v>
      </c>
      <c r="BE20" s="2">
        <v>1752</v>
      </c>
      <c r="BF20" s="2">
        <v>1075</v>
      </c>
      <c r="BG20" s="2">
        <v>1826</v>
      </c>
      <c r="BH20" s="2">
        <v>1916</v>
      </c>
      <c r="BI20" s="2">
        <v>1107</v>
      </c>
      <c r="BJ20" s="2">
        <v>1737</v>
      </c>
      <c r="BK20" s="2">
        <v>1945</v>
      </c>
      <c r="BL20" s="2">
        <v>11358</v>
      </c>
      <c r="BM20" s="2"/>
      <c r="BN20" s="2"/>
      <c r="BZ20" s="2"/>
      <c r="CA20" s="19" t="s">
        <v>78</v>
      </c>
      <c r="CB20" s="2">
        <v>0</v>
      </c>
      <c r="CC20" s="2">
        <v>0</v>
      </c>
      <c r="CD20" s="2">
        <v>0</v>
      </c>
      <c r="CE20" s="2">
        <v>0</v>
      </c>
      <c r="CF20" s="2">
        <v>0</v>
      </c>
      <c r="CG20" s="2">
        <v>0</v>
      </c>
      <c r="CH20" s="2">
        <v>0</v>
      </c>
      <c r="CI20" s="2">
        <v>1</v>
      </c>
      <c r="CJ20" s="2">
        <v>9</v>
      </c>
      <c r="CK20" s="2">
        <v>37</v>
      </c>
      <c r="CL20" s="2">
        <v>39</v>
      </c>
      <c r="CM20" s="2">
        <v>4</v>
      </c>
      <c r="CN20" s="2">
        <v>0</v>
      </c>
      <c r="CP20" s="2"/>
      <c r="CR20" s="19" t="s">
        <v>342</v>
      </c>
      <c r="CS20" s="2">
        <v>142</v>
      </c>
    </row>
    <row r="21" spans="2:97" x14ac:dyDescent="0.25">
      <c r="AC21" s="19" t="s">
        <v>79</v>
      </c>
      <c r="AD21" s="2">
        <v>153</v>
      </c>
      <c r="AE21" s="2">
        <v>0</v>
      </c>
      <c r="AF21" s="2">
        <v>0</v>
      </c>
      <c r="AG21" s="2">
        <v>0</v>
      </c>
      <c r="AH21" s="2">
        <v>0</v>
      </c>
      <c r="AI21" s="2">
        <v>0</v>
      </c>
      <c r="AJ21" s="2">
        <v>0</v>
      </c>
      <c r="AK21" s="2">
        <v>0</v>
      </c>
      <c r="AL21" s="2">
        <v>0</v>
      </c>
      <c r="AM21" s="2">
        <v>80</v>
      </c>
      <c r="AN21" s="2">
        <v>0</v>
      </c>
      <c r="AO21" s="2">
        <v>0</v>
      </c>
      <c r="AP21" s="2">
        <v>0</v>
      </c>
      <c r="AS21" s="19" t="s">
        <v>343</v>
      </c>
      <c r="AT21" s="2">
        <v>942</v>
      </c>
      <c r="BZ21" s="2"/>
      <c r="CA21" s="19" t="s">
        <v>79</v>
      </c>
      <c r="CB21" s="2">
        <v>14</v>
      </c>
      <c r="CC21" s="2">
        <v>12</v>
      </c>
      <c r="CD21" s="2">
        <v>0</v>
      </c>
      <c r="CE21" s="2">
        <v>0</v>
      </c>
      <c r="CF21" s="2">
        <v>0</v>
      </c>
      <c r="CG21" s="2">
        <v>0</v>
      </c>
      <c r="CH21" s="2">
        <v>0</v>
      </c>
      <c r="CI21" s="2">
        <v>0</v>
      </c>
      <c r="CJ21" s="2">
        <v>0</v>
      </c>
      <c r="CK21" s="2">
        <v>0</v>
      </c>
      <c r="CL21" s="2">
        <v>0</v>
      </c>
      <c r="CM21" s="2">
        <v>0</v>
      </c>
      <c r="CN21" s="2">
        <v>0</v>
      </c>
      <c r="CP21" s="2"/>
      <c r="CR21" s="19" t="s">
        <v>343</v>
      </c>
      <c r="CS21" s="2">
        <v>138</v>
      </c>
    </row>
    <row r="22" spans="2:97" x14ac:dyDescent="0.25">
      <c r="AC22" s="19" t="s">
        <v>80</v>
      </c>
      <c r="AD22" s="2">
        <v>0</v>
      </c>
      <c r="AE22" s="2">
        <v>0</v>
      </c>
      <c r="AF22" s="2">
        <v>0</v>
      </c>
      <c r="AG22" s="2">
        <v>0</v>
      </c>
      <c r="AH22" s="2">
        <v>0</v>
      </c>
      <c r="AI22" s="2">
        <v>529</v>
      </c>
      <c r="AJ22" s="2">
        <v>466</v>
      </c>
      <c r="AK22" s="2">
        <v>495</v>
      </c>
      <c r="AL22" s="2">
        <v>528</v>
      </c>
      <c r="AM22" s="2">
        <v>281</v>
      </c>
      <c r="AN22" s="2">
        <v>252</v>
      </c>
      <c r="AO22" s="2">
        <v>199</v>
      </c>
      <c r="AP22" s="2">
        <v>176</v>
      </c>
      <c r="AS22" s="19" t="s">
        <v>344</v>
      </c>
      <c r="AT22" s="2">
        <v>838</v>
      </c>
      <c r="BZ22" s="2"/>
      <c r="CA22" s="19" t="s">
        <v>80</v>
      </c>
      <c r="CB22" s="2">
        <v>0</v>
      </c>
      <c r="CC22" s="2">
        <v>50</v>
      </c>
      <c r="CD22" s="2">
        <v>36</v>
      </c>
      <c r="CE22" s="2">
        <v>30</v>
      </c>
      <c r="CF22" s="2">
        <v>49</v>
      </c>
      <c r="CG22" s="2">
        <v>0</v>
      </c>
      <c r="CH22" s="2">
        <v>0</v>
      </c>
      <c r="CI22" s="2">
        <v>0</v>
      </c>
      <c r="CJ22" s="2">
        <v>0</v>
      </c>
      <c r="CK22" s="2">
        <v>75</v>
      </c>
      <c r="CL22" s="2">
        <v>80</v>
      </c>
      <c r="CM22" s="2">
        <v>85</v>
      </c>
      <c r="CN22" s="2">
        <v>169</v>
      </c>
      <c r="CP22" s="2"/>
      <c r="CR22" s="19" t="s">
        <v>344</v>
      </c>
      <c r="CS22" s="2">
        <v>147</v>
      </c>
    </row>
    <row r="23" spans="2:97" x14ac:dyDescent="0.25">
      <c r="AC23" s="19" t="s">
        <v>81</v>
      </c>
      <c r="AD23" s="2">
        <v>0</v>
      </c>
      <c r="AE23" s="2">
        <v>5</v>
      </c>
      <c r="AF23" s="2">
        <v>0</v>
      </c>
      <c r="AG23" s="2">
        <v>0</v>
      </c>
      <c r="AH23" s="2">
        <v>0</v>
      </c>
      <c r="AI23" s="2">
        <v>0</v>
      </c>
      <c r="AJ23" s="2">
        <v>0</v>
      </c>
      <c r="AK23" s="2">
        <v>0</v>
      </c>
      <c r="AL23" s="2">
        <v>0</v>
      </c>
      <c r="AM23" s="2">
        <v>0</v>
      </c>
      <c r="AN23" s="2">
        <v>0</v>
      </c>
      <c r="AO23" s="2">
        <v>0</v>
      </c>
      <c r="AP23" s="2">
        <v>0</v>
      </c>
      <c r="AS23" s="19" t="s">
        <v>345</v>
      </c>
      <c r="AT23" s="2">
        <v>830</v>
      </c>
      <c r="BZ23" s="2"/>
      <c r="CA23" s="19" t="s">
        <v>81</v>
      </c>
      <c r="CB23" s="2">
        <v>0</v>
      </c>
      <c r="CC23" s="2">
        <v>0</v>
      </c>
      <c r="CD23" s="2">
        <v>0</v>
      </c>
      <c r="CE23" s="2">
        <v>0</v>
      </c>
      <c r="CF23" s="2">
        <v>0</v>
      </c>
      <c r="CG23" s="2">
        <v>3</v>
      </c>
      <c r="CH23" s="2">
        <v>0</v>
      </c>
      <c r="CI23" s="2">
        <v>0</v>
      </c>
      <c r="CJ23" s="2">
        <v>0</v>
      </c>
      <c r="CK23" s="2">
        <v>0</v>
      </c>
      <c r="CL23" s="2">
        <v>0</v>
      </c>
      <c r="CM23" s="2">
        <v>0</v>
      </c>
      <c r="CN23" s="2">
        <v>0</v>
      </c>
      <c r="CP23" s="2"/>
      <c r="CR23" s="19" t="s">
        <v>345</v>
      </c>
      <c r="CS23" s="2">
        <v>151</v>
      </c>
    </row>
    <row r="24" spans="2:97" x14ac:dyDescent="0.25">
      <c r="AC24" s="19" t="s">
        <v>82</v>
      </c>
      <c r="AD24" s="2">
        <v>0</v>
      </c>
      <c r="AE24" s="2">
        <v>14</v>
      </c>
      <c r="AF24" s="2">
        <v>7</v>
      </c>
      <c r="AG24" s="2">
        <v>0</v>
      </c>
      <c r="AH24" s="2">
        <v>0</v>
      </c>
      <c r="AI24" s="2">
        <v>5</v>
      </c>
      <c r="AJ24" s="2">
        <v>3</v>
      </c>
      <c r="AK24" s="2">
        <v>0</v>
      </c>
      <c r="AL24" s="2">
        <v>0</v>
      </c>
      <c r="AM24" s="2">
        <v>0</v>
      </c>
      <c r="AN24" s="2">
        <v>0</v>
      </c>
      <c r="AO24" s="2">
        <v>0</v>
      </c>
      <c r="AP24" s="2">
        <v>2</v>
      </c>
      <c r="AS24" s="19" t="s">
        <v>346</v>
      </c>
      <c r="AT24" s="2">
        <v>727</v>
      </c>
      <c r="BZ24" s="2"/>
      <c r="CA24" s="19" t="s">
        <v>82</v>
      </c>
      <c r="CB24" s="2">
        <v>0</v>
      </c>
      <c r="CC24" s="2">
        <v>0</v>
      </c>
      <c r="CD24" s="2">
        <v>0</v>
      </c>
      <c r="CE24" s="2">
        <v>0</v>
      </c>
      <c r="CF24" s="2">
        <v>0</v>
      </c>
      <c r="CG24" s="2">
        <v>3</v>
      </c>
      <c r="CH24" s="2">
        <v>4</v>
      </c>
      <c r="CI24" s="2">
        <v>0</v>
      </c>
      <c r="CJ24" s="2">
        <v>0</v>
      </c>
      <c r="CK24" s="2">
        <v>0</v>
      </c>
      <c r="CL24" s="2">
        <v>0</v>
      </c>
      <c r="CM24" s="2">
        <v>0</v>
      </c>
      <c r="CN24" s="2">
        <v>0</v>
      </c>
      <c r="CP24" s="2"/>
      <c r="CR24" s="19" t="s">
        <v>346</v>
      </c>
      <c r="CS24" s="2">
        <v>117</v>
      </c>
    </row>
    <row r="25" spans="2:97" x14ac:dyDescent="0.25">
      <c r="AC25" s="19" t="s">
        <v>83</v>
      </c>
      <c r="AD25" s="2">
        <v>0</v>
      </c>
      <c r="AE25" s="2">
        <v>0</v>
      </c>
      <c r="AF25" s="2">
        <v>0</v>
      </c>
      <c r="AG25" s="2">
        <v>0</v>
      </c>
      <c r="AH25" s="2">
        <v>39</v>
      </c>
      <c r="AI25" s="2">
        <v>0</v>
      </c>
      <c r="AJ25" s="2">
        <v>0</v>
      </c>
      <c r="AK25" s="2">
        <v>0</v>
      </c>
      <c r="AL25" s="2">
        <v>0</v>
      </c>
      <c r="AM25" s="2">
        <v>0</v>
      </c>
      <c r="AN25" s="2">
        <v>0</v>
      </c>
      <c r="AO25" s="2">
        <v>0</v>
      </c>
      <c r="AP25" s="2">
        <v>0</v>
      </c>
      <c r="AS25" s="19" t="s">
        <v>347</v>
      </c>
      <c r="AT25" s="2">
        <v>768</v>
      </c>
      <c r="BZ25" s="2"/>
      <c r="CA25" s="19" t="s">
        <v>83</v>
      </c>
      <c r="CB25" s="2">
        <v>0</v>
      </c>
      <c r="CC25" s="2">
        <v>0</v>
      </c>
      <c r="CD25" s="2">
        <v>0</v>
      </c>
      <c r="CE25" s="2">
        <v>0</v>
      </c>
      <c r="CF25" s="2">
        <v>0</v>
      </c>
      <c r="CG25" s="2">
        <v>0</v>
      </c>
      <c r="CH25" s="2">
        <v>0</v>
      </c>
      <c r="CI25" s="2">
        <v>0</v>
      </c>
      <c r="CJ25" s="2">
        <v>0</v>
      </c>
      <c r="CK25" s="2">
        <v>0</v>
      </c>
      <c r="CL25" s="2">
        <v>0</v>
      </c>
      <c r="CM25" s="2">
        <v>0</v>
      </c>
      <c r="CN25" s="2">
        <v>0</v>
      </c>
      <c r="CP25" s="2"/>
      <c r="CR25" s="19" t="s">
        <v>347</v>
      </c>
      <c r="CS25" s="2">
        <v>142</v>
      </c>
    </row>
    <row r="26" spans="2:97" x14ac:dyDescent="0.25">
      <c r="AC26" s="19" t="s">
        <v>84</v>
      </c>
      <c r="AD26" s="2">
        <v>20</v>
      </c>
      <c r="AE26" s="2">
        <v>0</v>
      </c>
      <c r="AF26" s="2">
        <v>0</v>
      </c>
      <c r="AG26" s="2">
        <v>0</v>
      </c>
      <c r="AH26" s="2">
        <v>0</v>
      </c>
      <c r="AI26" s="2">
        <v>0</v>
      </c>
      <c r="AJ26" s="2">
        <v>4</v>
      </c>
      <c r="AK26" s="2">
        <v>94</v>
      </c>
      <c r="AL26" s="2">
        <v>49</v>
      </c>
      <c r="AM26" s="2">
        <v>89</v>
      </c>
      <c r="AN26" s="2">
        <v>27</v>
      </c>
      <c r="AO26" s="2">
        <v>0</v>
      </c>
      <c r="AP26" s="2">
        <v>0</v>
      </c>
      <c r="AS26" s="19" t="s">
        <v>348</v>
      </c>
      <c r="AT26" s="2">
        <v>631</v>
      </c>
      <c r="BZ26" s="2"/>
      <c r="CA26" s="19" t="s">
        <v>84</v>
      </c>
      <c r="CB26" s="2">
        <v>0</v>
      </c>
      <c r="CC26" s="2">
        <v>0</v>
      </c>
      <c r="CD26" s="2">
        <v>0</v>
      </c>
      <c r="CE26" s="2">
        <v>0</v>
      </c>
      <c r="CF26" s="2">
        <v>0</v>
      </c>
      <c r="CG26" s="2">
        <v>0</v>
      </c>
      <c r="CH26" s="2">
        <v>0</v>
      </c>
      <c r="CI26" s="2">
        <v>0</v>
      </c>
      <c r="CJ26" s="2">
        <v>0</v>
      </c>
      <c r="CK26" s="2">
        <v>0</v>
      </c>
      <c r="CL26" s="2">
        <v>4</v>
      </c>
      <c r="CM26" s="2">
        <v>6</v>
      </c>
      <c r="CN26" s="2">
        <v>1</v>
      </c>
      <c r="CP26" s="2"/>
      <c r="CR26" s="19" t="s">
        <v>348</v>
      </c>
      <c r="CS26" s="2">
        <v>133</v>
      </c>
    </row>
    <row r="27" spans="2:97" x14ac:dyDescent="0.25">
      <c r="AC27" s="19" t="s">
        <v>85</v>
      </c>
      <c r="AD27" s="2">
        <v>0</v>
      </c>
      <c r="AE27" s="2">
        <v>0</v>
      </c>
      <c r="AF27" s="2">
        <v>0</v>
      </c>
      <c r="AG27" s="2">
        <v>0</v>
      </c>
      <c r="AH27" s="2">
        <v>0</v>
      </c>
      <c r="AI27" s="2">
        <v>0</v>
      </c>
      <c r="AJ27" s="2">
        <v>0</v>
      </c>
      <c r="AK27" s="2">
        <v>0</v>
      </c>
      <c r="AL27" s="2">
        <v>0</v>
      </c>
      <c r="AM27" s="2">
        <v>0</v>
      </c>
      <c r="AN27" s="2">
        <v>0</v>
      </c>
      <c r="AO27" s="2">
        <v>0</v>
      </c>
      <c r="AP27" s="2">
        <v>0</v>
      </c>
      <c r="AS27" s="19" t="s">
        <v>351</v>
      </c>
      <c r="AT27" s="2">
        <v>537</v>
      </c>
      <c r="BZ27" s="2"/>
      <c r="CA27" s="19" t="s">
        <v>85</v>
      </c>
      <c r="CB27" s="2">
        <v>0</v>
      </c>
      <c r="CC27" s="2">
        <v>0</v>
      </c>
      <c r="CD27" s="2">
        <v>0</v>
      </c>
      <c r="CE27" s="2">
        <v>0</v>
      </c>
      <c r="CF27" s="2">
        <v>0</v>
      </c>
      <c r="CG27" s="2">
        <v>0</v>
      </c>
      <c r="CH27" s="2">
        <v>0</v>
      </c>
      <c r="CI27" s="2">
        <v>0</v>
      </c>
      <c r="CJ27" s="2">
        <v>0</v>
      </c>
      <c r="CK27" s="2">
        <v>0</v>
      </c>
      <c r="CL27" s="2">
        <v>0</v>
      </c>
      <c r="CM27" s="2">
        <v>0</v>
      </c>
      <c r="CN27" s="2">
        <v>0</v>
      </c>
      <c r="CP27" s="2"/>
      <c r="CR27" s="19" t="s">
        <v>351</v>
      </c>
      <c r="CS27" s="2">
        <v>117</v>
      </c>
    </row>
    <row r="28" spans="2:97" x14ac:dyDescent="0.25">
      <c r="AC28" s="19" t="s">
        <v>86</v>
      </c>
      <c r="AD28" s="2">
        <v>0</v>
      </c>
      <c r="AE28" s="2">
        <v>0</v>
      </c>
      <c r="AF28" s="2">
        <v>0</v>
      </c>
      <c r="AG28" s="2">
        <v>0</v>
      </c>
      <c r="AH28" s="2">
        <v>0</v>
      </c>
      <c r="AI28" s="2">
        <v>0</v>
      </c>
      <c r="AJ28" s="2">
        <v>0</v>
      </c>
      <c r="AK28" s="2">
        <v>0</v>
      </c>
      <c r="AL28" s="2">
        <v>0</v>
      </c>
      <c r="AM28" s="2">
        <v>0</v>
      </c>
      <c r="AN28" s="2">
        <v>0</v>
      </c>
      <c r="AO28" s="2">
        <v>0</v>
      </c>
      <c r="AP28" s="2">
        <v>0</v>
      </c>
      <c r="AS28" s="19" t="s">
        <v>352</v>
      </c>
      <c r="AT28" s="2">
        <v>465</v>
      </c>
      <c r="BZ28" s="2"/>
      <c r="CA28" s="19" t="s">
        <v>86</v>
      </c>
      <c r="CB28" s="2">
        <v>0</v>
      </c>
      <c r="CC28" s="2">
        <v>0</v>
      </c>
      <c r="CD28" s="2">
        <v>0</v>
      </c>
      <c r="CE28" s="2">
        <v>0</v>
      </c>
      <c r="CF28" s="2">
        <v>0</v>
      </c>
      <c r="CG28" s="2">
        <v>0</v>
      </c>
      <c r="CH28" s="2">
        <v>0</v>
      </c>
      <c r="CI28" s="2">
        <v>0</v>
      </c>
      <c r="CJ28" s="2">
        <v>0</v>
      </c>
      <c r="CK28" s="2">
        <v>0</v>
      </c>
      <c r="CL28" s="2">
        <v>0</v>
      </c>
      <c r="CM28" s="2">
        <v>0</v>
      </c>
      <c r="CN28" s="2">
        <v>0</v>
      </c>
      <c r="CP28" s="2"/>
      <c r="CR28" s="19" t="s">
        <v>352</v>
      </c>
      <c r="CS28" s="2">
        <v>91</v>
      </c>
    </row>
    <row r="29" spans="2:97" x14ac:dyDescent="0.25">
      <c r="AC29" s="19" t="s">
        <v>87</v>
      </c>
      <c r="AD29" s="2">
        <v>0</v>
      </c>
      <c r="AE29" s="2">
        <v>0</v>
      </c>
      <c r="AF29" s="2">
        <v>0</v>
      </c>
      <c r="AG29" s="2">
        <v>0</v>
      </c>
      <c r="AH29" s="2">
        <v>4</v>
      </c>
      <c r="AI29" s="2">
        <v>0</v>
      </c>
      <c r="AJ29" s="2">
        <v>0</v>
      </c>
      <c r="AK29" s="2">
        <v>0</v>
      </c>
      <c r="AL29" s="2">
        <v>0</v>
      </c>
      <c r="AM29" s="2">
        <v>0</v>
      </c>
      <c r="AN29" s="2">
        <v>0</v>
      </c>
      <c r="AO29" s="2">
        <v>0</v>
      </c>
      <c r="AP29" s="2">
        <v>0</v>
      </c>
      <c r="AS29" s="19" t="s">
        <v>353</v>
      </c>
      <c r="AT29" s="2">
        <v>374</v>
      </c>
      <c r="BZ29" s="2"/>
      <c r="CA29" s="19" t="s">
        <v>87</v>
      </c>
      <c r="CB29" s="2">
        <v>0</v>
      </c>
      <c r="CC29" s="2">
        <v>0</v>
      </c>
      <c r="CD29" s="2">
        <v>0</v>
      </c>
      <c r="CE29" s="2">
        <v>0</v>
      </c>
      <c r="CF29" s="2">
        <v>0</v>
      </c>
      <c r="CG29" s="2">
        <v>0</v>
      </c>
      <c r="CH29" s="2">
        <v>0</v>
      </c>
      <c r="CI29" s="2">
        <v>0</v>
      </c>
      <c r="CJ29" s="2">
        <v>0</v>
      </c>
      <c r="CK29" s="2">
        <v>0</v>
      </c>
      <c r="CL29" s="2">
        <v>0</v>
      </c>
      <c r="CM29" s="2">
        <v>0</v>
      </c>
      <c r="CN29" s="2">
        <v>0</v>
      </c>
      <c r="CP29" s="2"/>
      <c r="CR29" s="19" t="s">
        <v>353</v>
      </c>
      <c r="CS29" s="2">
        <v>72</v>
      </c>
    </row>
    <row r="30" spans="2:97" x14ac:dyDescent="0.25">
      <c r="AC30" s="19" t="s">
        <v>88</v>
      </c>
      <c r="AD30" s="2">
        <v>0</v>
      </c>
      <c r="AE30" s="2">
        <v>0</v>
      </c>
      <c r="AF30" s="2">
        <v>0</v>
      </c>
      <c r="AG30" s="2">
        <v>0</v>
      </c>
      <c r="AH30" s="2">
        <v>0</v>
      </c>
      <c r="AI30" s="2">
        <v>0</v>
      </c>
      <c r="AJ30" s="2">
        <v>0</v>
      </c>
      <c r="AK30" s="2">
        <v>0</v>
      </c>
      <c r="AL30" s="2">
        <v>0</v>
      </c>
      <c r="AM30" s="2">
        <v>0</v>
      </c>
      <c r="AN30" s="2">
        <v>0</v>
      </c>
      <c r="AO30" s="2">
        <v>0</v>
      </c>
      <c r="AP30" s="2">
        <v>0</v>
      </c>
      <c r="AS30" s="19" t="s">
        <v>354</v>
      </c>
      <c r="AT30" s="2">
        <v>414</v>
      </c>
      <c r="BZ30" s="2"/>
      <c r="CA30" s="19" t="s">
        <v>88</v>
      </c>
      <c r="CB30" s="2">
        <v>0</v>
      </c>
      <c r="CC30" s="2">
        <v>0</v>
      </c>
      <c r="CD30" s="2">
        <v>0</v>
      </c>
      <c r="CE30" s="2">
        <v>0</v>
      </c>
      <c r="CF30" s="2">
        <v>0</v>
      </c>
      <c r="CG30" s="2">
        <v>0</v>
      </c>
      <c r="CH30" s="2">
        <v>0</v>
      </c>
      <c r="CI30" s="2">
        <v>0</v>
      </c>
      <c r="CJ30" s="2">
        <v>0</v>
      </c>
      <c r="CK30" s="2">
        <v>0</v>
      </c>
      <c r="CL30" s="2">
        <v>0</v>
      </c>
      <c r="CM30" s="2">
        <v>0</v>
      </c>
      <c r="CN30" s="2">
        <v>0</v>
      </c>
      <c r="CP30" s="2"/>
      <c r="CR30" s="19" t="s">
        <v>354</v>
      </c>
      <c r="CS30" s="2">
        <v>121</v>
      </c>
    </row>
    <row r="31" spans="2:97" x14ac:dyDescent="0.25">
      <c r="AC31" s="19" t="s">
        <v>89</v>
      </c>
      <c r="AD31" s="2">
        <v>0</v>
      </c>
      <c r="AE31" s="2">
        <v>0</v>
      </c>
      <c r="AF31" s="2">
        <v>26</v>
      </c>
      <c r="AG31" s="2">
        <v>0</v>
      </c>
      <c r="AH31" s="2">
        <v>31</v>
      </c>
      <c r="AI31" s="2">
        <v>5</v>
      </c>
      <c r="AJ31" s="2">
        <v>36</v>
      </c>
      <c r="AK31" s="2">
        <v>12</v>
      </c>
      <c r="AL31" s="2">
        <v>9</v>
      </c>
      <c r="AM31" s="2">
        <v>12</v>
      </c>
      <c r="AN31" s="2">
        <v>4</v>
      </c>
      <c r="AO31" s="2">
        <v>12</v>
      </c>
      <c r="AP31" s="2">
        <v>27</v>
      </c>
      <c r="AS31" s="19" t="s">
        <v>355</v>
      </c>
      <c r="AT31" s="2">
        <v>394</v>
      </c>
      <c r="BZ31" s="2"/>
      <c r="CA31" s="19" t="s">
        <v>89</v>
      </c>
      <c r="CB31" s="2">
        <v>0</v>
      </c>
      <c r="CC31" s="2">
        <v>4</v>
      </c>
      <c r="CD31" s="2">
        <v>1</v>
      </c>
      <c r="CE31" s="2">
        <v>5</v>
      </c>
      <c r="CF31" s="2">
        <v>4</v>
      </c>
      <c r="CG31" s="2">
        <v>0</v>
      </c>
      <c r="CH31" s="2">
        <v>2</v>
      </c>
      <c r="CI31" s="2">
        <v>0</v>
      </c>
      <c r="CJ31" s="2">
        <v>8</v>
      </c>
      <c r="CK31" s="2">
        <v>2</v>
      </c>
      <c r="CL31" s="2">
        <v>5</v>
      </c>
      <c r="CM31" s="2">
        <v>2</v>
      </c>
      <c r="CN31" s="2">
        <v>3</v>
      </c>
      <c r="CP31" s="2"/>
      <c r="CR31" s="19" t="s">
        <v>355</v>
      </c>
      <c r="CS31" s="2">
        <v>66</v>
      </c>
    </row>
    <row r="32" spans="2:97" x14ac:dyDescent="0.25">
      <c r="AC32" s="19" t="s">
        <v>90</v>
      </c>
      <c r="AD32" s="2">
        <v>0</v>
      </c>
      <c r="AE32" s="2">
        <v>0</v>
      </c>
      <c r="AF32" s="2">
        <v>0</v>
      </c>
      <c r="AG32" s="2">
        <v>0</v>
      </c>
      <c r="AH32" s="2">
        <v>0</v>
      </c>
      <c r="AI32" s="2">
        <v>0</v>
      </c>
      <c r="AJ32" s="2">
        <v>0</v>
      </c>
      <c r="AK32" s="2">
        <v>0</v>
      </c>
      <c r="AL32" s="2">
        <v>0</v>
      </c>
      <c r="AM32" s="2">
        <v>0</v>
      </c>
      <c r="AN32" s="2">
        <v>0</v>
      </c>
      <c r="AO32" s="2">
        <v>0</v>
      </c>
      <c r="AP32" s="2">
        <v>0</v>
      </c>
      <c r="AS32" s="19" t="s">
        <v>356</v>
      </c>
      <c r="AT32" s="2">
        <v>510</v>
      </c>
      <c r="BZ32" s="2"/>
      <c r="CA32" s="19" t="s">
        <v>90</v>
      </c>
      <c r="CB32" s="2">
        <v>0</v>
      </c>
      <c r="CC32" s="2">
        <v>0</v>
      </c>
      <c r="CD32" s="2">
        <v>0</v>
      </c>
      <c r="CE32" s="2">
        <v>0</v>
      </c>
      <c r="CF32" s="2">
        <v>0</v>
      </c>
      <c r="CG32" s="2">
        <v>0</v>
      </c>
      <c r="CH32" s="2">
        <v>0</v>
      </c>
      <c r="CI32" s="2">
        <v>0</v>
      </c>
      <c r="CJ32" s="2">
        <v>0</v>
      </c>
      <c r="CK32" s="2">
        <v>0</v>
      </c>
      <c r="CL32" s="2">
        <v>0</v>
      </c>
      <c r="CM32" s="2">
        <v>0</v>
      </c>
      <c r="CN32" s="2">
        <v>0</v>
      </c>
      <c r="CP32" s="2"/>
      <c r="CR32" s="19" t="s">
        <v>356</v>
      </c>
      <c r="CS32" s="2">
        <v>80</v>
      </c>
    </row>
    <row r="33" spans="29:97" x14ac:dyDescent="0.25">
      <c r="AC33" s="19" t="s">
        <v>91</v>
      </c>
      <c r="AD33" s="2">
        <v>0</v>
      </c>
      <c r="AE33" s="2">
        <v>0</v>
      </c>
      <c r="AF33" s="2">
        <v>0</v>
      </c>
      <c r="AG33" s="2">
        <v>0</v>
      </c>
      <c r="AH33" s="2">
        <v>0</v>
      </c>
      <c r="AI33" s="2">
        <v>0</v>
      </c>
      <c r="AJ33" s="2">
        <v>0</v>
      </c>
      <c r="AK33" s="2">
        <v>0</v>
      </c>
      <c r="AL33" s="2">
        <v>0</v>
      </c>
      <c r="AM33" s="2">
        <v>0</v>
      </c>
      <c r="AN33" s="2">
        <v>0</v>
      </c>
      <c r="AO33" s="2">
        <v>0</v>
      </c>
      <c r="AP33" s="2">
        <v>0</v>
      </c>
      <c r="AS33" s="19" t="s">
        <v>357</v>
      </c>
      <c r="AT33" s="2">
        <v>441</v>
      </c>
      <c r="BZ33" s="2"/>
      <c r="CA33" s="19" t="s">
        <v>91</v>
      </c>
      <c r="CB33" s="2">
        <v>0</v>
      </c>
      <c r="CC33" s="2">
        <v>0</v>
      </c>
      <c r="CD33" s="2">
        <v>0</v>
      </c>
      <c r="CE33" s="2">
        <v>0</v>
      </c>
      <c r="CF33" s="2">
        <v>0</v>
      </c>
      <c r="CG33" s="2">
        <v>0</v>
      </c>
      <c r="CH33" s="2">
        <v>0</v>
      </c>
      <c r="CI33" s="2">
        <v>0</v>
      </c>
      <c r="CJ33" s="2">
        <v>0</v>
      </c>
      <c r="CK33" s="2">
        <v>0</v>
      </c>
      <c r="CL33" s="2">
        <v>0</v>
      </c>
      <c r="CM33" s="2">
        <v>0</v>
      </c>
      <c r="CN33" s="2">
        <v>0</v>
      </c>
      <c r="CP33" s="2"/>
      <c r="CR33" s="19" t="s">
        <v>357</v>
      </c>
      <c r="CS33" s="2">
        <v>45</v>
      </c>
    </row>
    <row r="34" spans="29:97" x14ac:dyDescent="0.25">
      <c r="AC34" s="19" t="s">
        <v>92</v>
      </c>
      <c r="AD34" s="2">
        <v>0</v>
      </c>
      <c r="AE34" s="2">
        <v>0</v>
      </c>
      <c r="AF34" s="2">
        <v>0</v>
      </c>
      <c r="AG34" s="2">
        <v>2</v>
      </c>
      <c r="AH34" s="2">
        <v>0</v>
      </c>
      <c r="AI34" s="2">
        <v>0</v>
      </c>
      <c r="AJ34" s="2">
        <v>0</v>
      </c>
      <c r="AK34" s="2">
        <v>0</v>
      </c>
      <c r="AL34" s="2">
        <v>0</v>
      </c>
      <c r="AM34" s="2">
        <v>0</v>
      </c>
      <c r="AN34" s="2">
        <v>0</v>
      </c>
      <c r="AO34" s="2">
        <v>0</v>
      </c>
      <c r="AP34" s="2">
        <v>0</v>
      </c>
      <c r="AS34" s="19" t="s">
        <v>360</v>
      </c>
      <c r="AT34" s="2">
        <v>571</v>
      </c>
      <c r="BZ34" s="2"/>
      <c r="CA34" s="19" t="s">
        <v>92</v>
      </c>
      <c r="CB34" s="2">
        <v>0</v>
      </c>
      <c r="CC34" s="2">
        <v>0</v>
      </c>
      <c r="CD34" s="2">
        <v>0</v>
      </c>
      <c r="CE34" s="2">
        <v>0</v>
      </c>
      <c r="CF34" s="2">
        <v>0</v>
      </c>
      <c r="CG34" s="2">
        <v>0</v>
      </c>
      <c r="CH34" s="2">
        <v>0</v>
      </c>
      <c r="CI34" s="2">
        <v>0</v>
      </c>
      <c r="CJ34" s="2">
        <v>0</v>
      </c>
      <c r="CK34" s="2">
        <v>0</v>
      </c>
      <c r="CL34" s="2">
        <v>0</v>
      </c>
      <c r="CM34" s="2">
        <v>0</v>
      </c>
      <c r="CN34" s="2">
        <v>0</v>
      </c>
      <c r="CP34" s="2"/>
      <c r="CR34" s="19" t="s">
        <v>360</v>
      </c>
      <c r="CS34" s="2">
        <v>66</v>
      </c>
    </row>
    <row r="35" spans="29:97" x14ac:dyDescent="0.25">
      <c r="AC35" s="19" t="s">
        <v>288</v>
      </c>
      <c r="AD35" s="2">
        <v>81</v>
      </c>
      <c r="AE35" s="2">
        <v>0</v>
      </c>
      <c r="AF35" s="2">
        <v>168</v>
      </c>
      <c r="AG35" s="2">
        <v>76</v>
      </c>
      <c r="AH35" s="2">
        <v>124</v>
      </c>
      <c r="AI35" s="2">
        <v>94</v>
      </c>
      <c r="AJ35" s="2">
        <v>10</v>
      </c>
      <c r="AK35" s="2">
        <v>6</v>
      </c>
      <c r="AL35" s="2">
        <v>0</v>
      </c>
      <c r="AM35" s="2">
        <v>0</v>
      </c>
      <c r="AN35" s="2">
        <v>0</v>
      </c>
      <c r="AO35" s="2">
        <v>6</v>
      </c>
      <c r="AP35" s="2">
        <v>0</v>
      </c>
      <c r="AS35" s="19" t="s">
        <v>361</v>
      </c>
      <c r="AT35" s="2">
        <v>525</v>
      </c>
      <c r="BZ35" s="2"/>
      <c r="CA35" s="19" t="s">
        <v>288</v>
      </c>
      <c r="CB35" s="2">
        <v>28</v>
      </c>
      <c r="CC35" s="2">
        <v>0</v>
      </c>
      <c r="CD35" s="2">
        <v>0</v>
      </c>
      <c r="CE35" s="2">
        <v>1</v>
      </c>
      <c r="CF35" s="2">
        <v>0</v>
      </c>
      <c r="CG35" s="2">
        <v>0</v>
      </c>
      <c r="CH35" s="2">
        <v>49</v>
      </c>
      <c r="CI35" s="2">
        <v>9</v>
      </c>
      <c r="CJ35" s="2">
        <v>3</v>
      </c>
      <c r="CK35" s="2">
        <v>4</v>
      </c>
      <c r="CL35" s="2">
        <v>0</v>
      </c>
      <c r="CM35" s="2">
        <v>2</v>
      </c>
      <c r="CN35" s="2">
        <v>0</v>
      </c>
      <c r="CP35" s="2"/>
      <c r="CR35" s="19" t="s">
        <v>361</v>
      </c>
      <c r="CS35" s="2">
        <v>71</v>
      </c>
    </row>
    <row r="36" spans="29:97" x14ac:dyDescent="0.25">
      <c r="AC36" s="19" t="s">
        <v>93</v>
      </c>
      <c r="AD36" s="2">
        <v>0</v>
      </c>
      <c r="AE36" s="2">
        <v>0</v>
      </c>
      <c r="AF36" s="2">
        <v>0</v>
      </c>
      <c r="AG36" s="2">
        <v>55</v>
      </c>
      <c r="AH36" s="2">
        <v>330</v>
      </c>
      <c r="AI36" s="2">
        <v>267</v>
      </c>
      <c r="AJ36" s="2">
        <v>116</v>
      </c>
      <c r="AK36" s="2">
        <v>0</v>
      </c>
      <c r="AL36" s="2">
        <v>42</v>
      </c>
      <c r="AM36" s="2">
        <v>180</v>
      </c>
      <c r="AN36" s="2">
        <v>70</v>
      </c>
      <c r="AO36" s="2">
        <v>122</v>
      </c>
      <c r="AP36" s="2">
        <v>100</v>
      </c>
      <c r="AS36" s="19" t="s">
        <v>362</v>
      </c>
      <c r="AT36" s="2">
        <v>646</v>
      </c>
      <c r="BZ36" s="2"/>
      <c r="CA36" s="19" t="s">
        <v>93</v>
      </c>
      <c r="CB36" s="2">
        <v>0</v>
      </c>
      <c r="CC36" s="2">
        <v>37</v>
      </c>
      <c r="CD36" s="2">
        <v>14</v>
      </c>
      <c r="CE36" s="2">
        <v>23</v>
      </c>
      <c r="CF36" s="2">
        <v>17</v>
      </c>
      <c r="CG36" s="2">
        <v>0</v>
      </c>
      <c r="CH36" s="2">
        <v>0</v>
      </c>
      <c r="CI36" s="2">
        <v>2</v>
      </c>
      <c r="CJ36" s="2">
        <v>42</v>
      </c>
      <c r="CK36" s="2">
        <v>31</v>
      </c>
      <c r="CL36" s="2">
        <v>21</v>
      </c>
      <c r="CM36" s="2">
        <v>0</v>
      </c>
      <c r="CN36" s="2">
        <v>10</v>
      </c>
      <c r="CP36" s="2"/>
      <c r="CR36" s="19" t="s">
        <v>362</v>
      </c>
      <c r="CS36" s="2">
        <v>77</v>
      </c>
    </row>
    <row r="37" spans="29:97" x14ac:dyDescent="0.25">
      <c r="AC37" s="19" t="s">
        <v>94</v>
      </c>
      <c r="AD37" s="2">
        <v>0</v>
      </c>
      <c r="AE37" s="2">
        <v>0</v>
      </c>
      <c r="AF37" s="2">
        <v>0</v>
      </c>
      <c r="AG37" s="2">
        <v>25</v>
      </c>
      <c r="AH37" s="2">
        <v>98</v>
      </c>
      <c r="AI37" s="2">
        <v>81</v>
      </c>
      <c r="AJ37" s="2">
        <v>0</v>
      </c>
      <c r="AK37" s="2">
        <v>0</v>
      </c>
      <c r="AL37" s="2">
        <v>0</v>
      </c>
      <c r="AM37" s="2">
        <v>30</v>
      </c>
      <c r="AN37" s="2">
        <v>6</v>
      </c>
      <c r="AO37" s="2">
        <v>0</v>
      </c>
      <c r="AP37" s="2">
        <v>0</v>
      </c>
      <c r="AS37" s="19" t="s">
        <v>363</v>
      </c>
      <c r="AT37" s="2">
        <v>572</v>
      </c>
      <c r="BZ37" s="2"/>
      <c r="CA37" s="19" t="s">
        <v>94</v>
      </c>
      <c r="CB37" s="2">
        <v>0</v>
      </c>
      <c r="CC37" s="2">
        <v>6</v>
      </c>
      <c r="CD37" s="2">
        <v>3</v>
      </c>
      <c r="CE37" s="2">
        <v>0</v>
      </c>
      <c r="CF37" s="2">
        <v>0</v>
      </c>
      <c r="CG37" s="2">
        <v>0</v>
      </c>
      <c r="CH37" s="2">
        <v>0</v>
      </c>
      <c r="CI37" s="2">
        <v>0</v>
      </c>
      <c r="CJ37" s="2">
        <v>13</v>
      </c>
      <c r="CK37" s="2">
        <v>8</v>
      </c>
      <c r="CL37" s="2">
        <v>0</v>
      </c>
      <c r="CM37" s="2">
        <v>0</v>
      </c>
      <c r="CN37" s="2">
        <v>0</v>
      </c>
      <c r="CP37" s="2"/>
      <c r="CR37" s="19" t="s">
        <v>363</v>
      </c>
      <c r="CS37" s="2">
        <v>76</v>
      </c>
    </row>
    <row r="38" spans="29:97" x14ac:dyDescent="0.25">
      <c r="AC38" s="19" t="s">
        <v>95</v>
      </c>
      <c r="AD38" s="2">
        <v>0</v>
      </c>
      <c r="AE38" s="2">
        <v>0</v>
      </c>
      <c r="AF38" s="2">
        <v>0</v>
      </c>
      <c r="AG38" s="2">
        <v>0</v>
      </c>
      <c r="AH38" s="2">
        <v>0</v>
      </c>
      <c r="AI38" s="2">
        <v>0</v>
      </c>
      <c r="AJ38" s="2">
        <v>0</v>
      </c>
      <c r="AK38" s="2">
        <v>0</v>
      </c>
      <c r="AL38" s="2">
        <v>0</v>
      </c>
      <c r="AM38" s="2">
        <v>0</v>
      </c>
      <c r="AN38" s="2">
        <v>0</v>
      </c>
      <c r="AO38" s="2">
        <v>0</v>
      </c>
      <c r="AP38" s="2">
        <v>0</v>
      </c>
      <c r="AS38" s="19" t="s">
        <v>364</v>
      </c>
      <c r="AT38" s="2">
        <v>589</v>
      </c>
      <c r="BZ38" s="2"/>
      <c r="CA38" s="19" t="s">
        <v>95</v>
      </c>
      <c r="CB38" s="2">
        <v>0</v>
      </c>
      <c r="CC38" s="2">
        <v>0</v>
      </c>
      <c r="CD38" s="2">
        <v>0</v>
      </c>
      <c r="CE38" s="2">
        <v>0</v>
      </c>
      <c r="CF38" s="2">
        <v>0</v>
      </c>
      <c r="CG38" s="2">
        <v>0</v>
      </c>
      <c r="CH38" s="2">
        <v>0</v>
      </c>
      <c r="CI38" s="2">
        <v>0</v>
      </c>
      <c r="CJ38" s="2">
        <v>0</v>
      </c>
      <c r="CK38" s="2">
        <v>0</v>
      </c>
      <c r="CL38" s="2">
        <v>0</v>
      </c>
      <c r="CM38" s="2">
        <v>0</v>
      </c>
      <c r="CN38" s="2">
        <v>0</v>
      </c>
      <c r="CP38" s="2"/>
      <c r="CR38" s="19" t="s">
        <v>364</v>
      </c>
      <c r="CS38" s="2">
        <v>92</v>
      </c>
    </row>
    <row r="39" spans="29:97" x14ac:dyDescent="0.25">
      <c r="AC39" s="19" t="s">
        <v>96</v>
      </c>
      <c r="AD39" s="2">
        <v>4</v>
      </c>
      <c r="AE39" s="2">
        <v>0</v>
      </c>
      <c r="AF39" s="2">
        <v>0</v>
      </c>
      <c r="AG39" s="2">
        <v>0</v>
      </c>
      <c r="AH39" s="2">
        <v>0</v>
      </c>
      <c r="AI39" s="2">
        <v>0</v>
      </c>
      <c r="AJ39" s="2">
        <v>4</v>
      </c>
      <c r="AK39" s="2">
        <v>0</v>
      </c>
      <c r="AL39" s="2">
        <v>0</v>
      </c>
      <c r="AM39" s="2">
        <v>0</v>
      </c>
      <c r="AN39" s="2">
        <v>47</v>
      </c>
      <c r="AO39" s="2">
        <v>18</v>
      </c>
      <c r="AP39" s="2">
        <v>72</v>
      </c>
      <c r="AS39" s="19" t="s">
        <v>365</v>
      </c>
      <c r="AT39" s="2">
        <v>522</v>
      </c>
      <c r="BZ39" s="2"/>
      <c r="CA39" s="19" t="s">
        <v>96</v>
      </c>
      <c r="CB39" s="2">
        <v>4</v>
      </c>
      <c r="CC39" s="2">
        <v>0</v>
      </c>
      <c r="CD39" s="2">
        <v>47</v>
      </c>
      <c r="CE39" s="2">
        <v>14</v>
      </c>
      <c r="CF39" s="2">
        <v>72</v>
      </c>
      <c r="CG39" s="2">
        <v>0</v>
      </c>
      <c r="CH39" s="2">
        <v>0</v>
      </c>
      <c r="CI39" s="2">
        <v>0</v>
      </c>
      <c r="CJ39" s="2">
        <v>0</v>
      </c>
      <c r="CK39" s="2">
        <v>0</v>
      </c>
      <c r="CL39" s="2">
        <v>4</v>
      </c>
      <c r="CM39" s="2">
        <v>0</v>
      </c>
      <c r="CN39" s="2">
        <v>0</v>
      </c>
      <c r="CP39" s="2"/>
      <c r="CR39" s="19" t="s">
        <v>365</v>
      </c>
      <c r="CS39" s="2">
        <v>87</v>
      </c>
    </row>
    <row r="40" spans="29:97" x14ac:dyDescent="0.25">
      <c r="AC40" s="19" t="s">
        <v>97</v>
      </c>
      <c r="AD40" s="2">
        <v>0</v>
      </c>
      <c r="AE40" s="2">
        <v>0</v>
      </c>
      <c r="AF40" s="2">
        <v>0</v>
      </c>
      <c r="AG40" s="2">
        <v>64</v>
      </c>
      <c r="AH40" s="2">
        <v>146</v>
      </c>
      <c r="AI40" s="2">
        <v>105</v>
      </c>
      <c r="AJ40" s="2">
        <v>6</v>
      </c>
      <c r="AK40" s="2">
        <v>12</v>
      </c>
      <c r="AL40" s="2">
        <v>0</v>
      </c>
      <c r="AM40" s="2">
        <v>0</v>
      </c>
      <c r="AN40" s="2">
        <v>0</v>
      </c>
      <c r="AO40" s="2">
        <v>3</v>
      </c>
      <c r="AP40" s="2">
        <v>0</v>
      </c>
      <c r="AS40" s="19" t="s">
        <v>366</v>
      </c>
      <c r="AT40" s="2">
        <v>457</v>
      </c>
      <c r="BZ40" s="2"/>
      <c r="CA40" s="19" t="s">
        <v>97</v>
      </c>
      <c r="CB40" s="2">
        <v>0</v>
      </c>
      <c r="CC40" s="2">
        <v>0</v>
      </c>
      <c r="CD40" s="2">
        <v>0</v>
      </c>
      <c r="CE40" s="2">
        <v>3</v>
      </c>
      <c r="CF40" s="2">
        <v>0</v>
      </c>
      <c r="CG40" s="2">
        <v>0</v>
      </c>
      <c r="CH40" s="2">
        <v>0</v>
      </c>
      <c r="CI40" s="2">
        <v>5</v>
      </c>
      <c r="CJ40" s="2">
        <v>24</v>
      </c>
      <c r="CK40" s="2">
        <v>8</v>
      </c>
      <c r="CL40" s="2">
        <v>0</v>
      </c>
      <c r="CM40" s="2">
        <v>0</v>
      </c>
      <c r="CN40" s="2">
        <v>0</v>
      </c>
      <c r="CP40" s="2"/>
      <c r="CR40" s="19" t="s">
        <v>366</v>
      </c>
      <c r="CS40" s="2">
        <v>53</v>
      </c>
    </row>
    <row r="41" spans="29:97" x14ac:dyDescent="0.25">
      <c r="AC41" s="19" t="s">
        <v>98</v>
      </c>
      <c r="AD41" s="2">
        <v>755</v>
      </c>
      <c r="AE41" s="2">
        <v>367</v>
      </c>
      <c r="AF41" s="2">
        <v>393</v>
      </c>
      <c r="AG41" s="2">
        <v>124</v>
      </c>
      <c r="AH41" s="2">
        <v>30</v>
      </c>
      <c r="AI41" s="2">
        <v>4</v>
      </c>
      <c r="AJ41" s="2">
        <v>43</v>
      </c>
      <c r="AK41" s="2">
        <v>66</v>
      </c>
      <c r="AL41" s="2">
        <v>285</v>
      </c>
      <c r="AM41" s="2">
        <v>93</v>
      </c>
      <c r="AN41" s="2">
        <v>0</v>
      </c>
      <c r="AO41" s="2">
        <v>0</v>
      </c>
      <c r="AP41" s="2">
        <v>0</v>
      </c>
      <c r="AS41" s="19" t="s">
        <v>369</v>
      </c>
      <c r="AT41" s="2">
        <v>646</v>
      </c>
      <c r="BZ41" s="2"/>
      <c r="CA41" s="19" t="s">
        <v>98</v>
      </c>
      <c r="CB41" s="2">
        <v>131</v>
      </c>
      <c r="CC41" s="2">
        <v>12</v>
      </c>
      <c r="CD41" s="2">
        <v>0</v>
      </c>
      <c r="CE41" s="2">
        <v>0</v>
      </c>
      <c r="CF41" s="2">
        <v>0</v>
      </c>
      <c r="CG41" s="2">
        <v>44</v>
      </c>
      <c r="CH41" s="2">
        <v>77</v>
      </c>
      <c r="CI41" s="2">
        <v>23</v>
      </c>
      <c r="CJ41" s="2">
        <v>7</v>
      </c>
      <c r="CK41" s="2">
        <v>1</v>
      </c>
      <c r="CL41" s="2">
        <v>19</v>
      </c>
      <c r="CM41" s="2">
        <v>19</v>
      </c>
      <c r="CN41" s="2">
        <v>39</v>
      </c>
      <c r="CP41" s="2"/>
      <c r="CR41" s="19" t="s">
        <v>369</v>
      </c>
      <c r="CS41" s="2">
        <v>87</v>
      </c>
    </row>
    <row r="42" spans="29:97" x14ac:dyDescent="0.25">
      <c r="AC42" s="19" t="s">
        <v>99</v>
      </c>
      <c r="AD42" s="2">
        <v>0</v>
      </c>
      <c r="AE42" s="2">
        <v>0</v>
      </c>
      <c r="AF42" s="2">
        <v>0</v>
      </c>
      <c r="AG42" s="2">
        <v>112</v>
      </c>
      <c r="AH42" s="2">
        <v>245</v>
      </c>
      <c r="AI42" s="2">
        <v>345</v>
      </c>
      <c r="AJ42" s="2">
        <v>16</v>
      </c>
      <c r="AK42" s="2">
        <v>144</v>
      </c>
      <c r="AL42" s="2">
        <v>307</v>
      </c>
      <c r="AM42" s="2">
        <v>74</v>
      </c>
      <c r="AN42" s="2">
        <v>16</v>
      </c>
      <c r="AO42" s="2">
        <v>4</v>
      </c>
      <c r="AP42" s="2">
        <v>4</v>
      </c>
      <c r="AS42" s="19" t="s">
        <v>370</v>
      </c>
      <c r="AT42" s="2">
        <v>761</v>
      </c>
      <c r="BZ42" s="2"/>
      <c r="CA42" s="19" t="s">
        <v>99</v>
      </c>
      <c r="CB42" s="2">
        <v>0</v>
      </c>
      <c r="CC42" s="2">
        <v>11</v>
      </c>
      <c r="CD42" s="2">
        <v>1</v>
      </c>
      <c r="CE42" s="2">
        <v>2</v>
      </c>
      <c r="CF42" s="2">
        <v>0</v>
      </c>
      <c r="CG42" s="2">
        <v>0</v>
      </c>
      <c r="CH42" s="2">
        <v>0</v>
      </c>
      <c r="CI42" s="2">
        <v>1</v>
      </c>
      <c r="CJ42" s="2">
        <v>18</v>
      </c>
      <c r="CK42" s="2">
        <v>82</v>
      </c>
      <c r="CL42" s="2">
        <v>0</v>
      </c>
      <c r="CM42" s="2">
        <v>4</v>
      </c>
      <c r="CN42" s="2">
        <v>47</v>
      </c>
      <c r="CP42" s="2"/>
      <c r="CR42" s="19" t="s">
        <v>370</v>
      </c>
      <c r="CS42" s="2">
        <v>95</v>
      </c>
    </row>
    <row r="43" spans="29:97" x14ac:dyDescent="0.25">
      <c r="AC43" s="19" t="s">
        <v>100</v>
      </c>
      <c r="AD43" s="2">
        <v>14</v>
      </c>
      <c r="AE43" s="2">
        <v>0</v>
      </c>
      <c r="AF43" s="2">
        <v>0</v>
      </c>
      <c r="AG43" s="2">
        <v>4</v>
      </c>
      <c r="AH43" s="2">
        <v>0</v>
      </c>
      <c r="AI43" s="2">
        <v>0</v>
      </c>
      <c r="AJ43" s="2">
        <v>0</v>
      </c>
      <c r="AK43" s="2">
        <v>0</v>
      </c>
      <c r="AL43" s="2">
        <v>4</v>
      </c>
      <c r="AM43" s="2">
        <v>0</v>
      </c>
      <c r="AN43" s="2">
        <v>0</v>
      </c>
      <c r="AO43" s="2">
        <v>0</v>
      </c>
      <c r="AP43" s="2">
        <v>0</v>
      </c>
      <c r="AS43" s="19" t="s">
        <v>371</v>
      </c>
      <c r="AT43" s="2">
        <v>817</v>
      </c>
      <c r="BZ43" s="2"/>
      <c r="CA43" s="19" t="s">
        <v>100</v>
      </c>
      <c r="CB43" s="2">
        <v>2</v>
      </c>
      <c r="CC43" s="2">
        <v>0</v>
      </c>
      <c r="CD43" s="2">
        <v>0</v>
      </c>
      <c r="CE43" s="2">
        <v>0</v>
      </c>
      <c r="CF43" s="2">
        <v>0</v>
      </c>
      <c r="CG43" s="2">
        <v>0</v>
      </c>
      <c r="CH43" s="2">
        <v>0</v>
      </c>
      <c r="CI43" s="2">
        <v>0</v>
      </c>
      <c r="CJ43" s="2">
        <v>0</v>
      </c>
      <c r="CK43" s="2">
        <v>0</v>
      </c>
      <c r="CL43" s="2">
        <v>0</v>
      </c>
      <c r="CM43" s="2">
        <v>0</v>
      </c>
      <c r="CN43" s="2">
        <v>3</v>
      </c>
      <c r="CP43" s="2"/>
      <c r="CR43" s="19" t="s">
        <v>371</v>
      </c>
      <c r="CS43" s="2">
        <v>116</v>
      </c>
    </row>
    <row r="44" spans="29:97" x14ac:dyDescent="0.25">
      <c r="AC44" s="19" t="s">
        <v>101</v>
      </c>
      <c r="AD44" s="2">
        <v>113</v>
      </c>
      <c r="AE44" s="2">
        <v>288</v>
      </c>
      <c r="AF44" s="2">
        <v>216</v>
      </c>
      <c r="AG44" s="2">
        <v>48</v>
      </c>
      <c r="AH44" s="2">
        <v>36</v>
      </c>
      <c r="AI44" s="2">
        <v>109</v>
      </c>
      <c r="AJ44" s="2">
        <v>145</v>
      </c>
      <c r="AK44" s="2">
        <v>64</v>
      </c>
      <c r="AL44" s="2">
        <v>79</v>
      </c>
      <c r="AM44" s="2">
        <v>40</v>
      </c>
      <c r="AN44" s="2">
        <v>30</v>
      </c>
      <c r="AO44" s="2">
        <v>6</v>
      </c>
      <c r="AP44" s="2">
        <v>28</v>
      </c>
      <c r="AS44" s="19" t="s">
        <v>372</v>
      </c>
      <c r="AT44" s="2">
        <v>811</v>
      </c>
      <c r="BZ44" s="2"/>
      <c r="CA44" s="19" t="s">
        <v>101</v>
      </c>
      <c r="CB44" s="2">
        <v>10</v>
      </c>
      <c r="CC44" s="2">
        <v>8</v>
      </c>
      <c r="CD44" s="2">
        <v>6</v>
      </c>
      <c r="CE44" s="2">
        <v>0</v>
      </c>
      <c r="CF44" s="2">
        <v>5</v>
      </c>
      <c r="CG44" s="2">
        <v>47</v>
      </c>
      <c r="CH44" s="2">
        <v>32</v>
      </c>
      <c r="CI44" s="2">
        <v>7</v>
      </c>
      <c r="CJ44" s="2">
        <v>7</v>
      </c>
      <c r="CK44" s="2">
        <v>5</v>
      </c>
      <c r="CL44" s="2">
        <v>29</v>
      </c>
      <c r="CM44" s="2">
        <v>12</v>
      </c>
      <c r="CN44" s="2">
        <v>8</v>
      </c>
      <c r="CP44" s="2"/>
      <c r="CR44" s="19" t="s">
        <v>372</v>
      </c>
      <c r="CS44" s="2">
        <v>131</v>
      </c>
    </row>
    <row r="45" spans="29:97" x14ac:dyDescent="0.25">
      <c r="AC45" s="19" t="s">
        <v>102</v>
      </c>
      <c r="AD45" s="2">
        <v>6</v>
      </c>
      <c r="AE45" s="2">
        <v>6</v>
      </c>
      <c r="AF45" s="2">
        <v>2</v>
      </c>
      <c r="AG45" s="2">
        <v>5</v>
      </c>
      <c r="AH45" s="2">
        <v>8</v>
      </c>
      <c r="AI45" s="2">
        <v>4</v>
      </c>
      <c r="AJ45" s="2">
        <v>2</v>
      </c>
      <c r="AK45" s="2">
        <v>11</v>
      </c>
      <c r="AL45" s="2">
        <v>2</v>
      </c>
      <c r="AM45" s="2">
        <v>47</v>
      </c>
      <c r="AN45" s="2">
        <v>13</v>
      </c>
      <c r="AO45" s="2">
        <v>10</v>
      </c>
      <c r="AP45" s="2">
        <v>6</v>
      </c>
      <c r="AS45" s="19" t="s">
        <v>373</v>
      </c>
      <c r="AT45" s="2">
        <v>804</v>
      </c>
      <c r="BZ45" s="2"/>
      <c r="CA45" s="19" t="s">
        <v>102</v>
      </c>
      <c r="CB45" s="2">
        <v>2</v>
      </c>
      <c r="CC45" s="2">
        <v>42</v>
      </c>
      <c r="CD45" s="2">
        <v>6</v>
      </c>
      <c r="CE45" s="2">
        <v>3</v>
      </c>
      <c r="CF45" s="2">
        <v>3</v>
      </c>
      <c r="CG45" s="2">
        <v>3</v>
      </c>
      <c r="CH45" s="2">
        <v>1</v>
      </c>
      <c r="CI45" s="2">
        <v>2</v>
      </c>
      <c r="CJ45" s="2">
        <v>1</v>
      </c>
      <c r="CK45" s="2">
        <v>1</v>
      </c>
      <c r="CL45" s="2">
        <v>2</v>
      </c>
      <c r="CM45" s="2">
        <v>7</v>
      </c>
      <c r="CN45" s="2">
        <v>2</v>
      </c>
      <c r="CP45" s="2"/>
      <c r="CR45" s="19" t="s">
        <v>373</v>
      </c>
      <c r="CS45" s="2">
        <v>139</v>
      </c>
    </row>
    <row r="46" spans="29:97" x14ac:dyDescent="0.25">
      <c r="AC46" s="19" t="s">
        <v>103</v>
      </c>
      <c r="AD46" s="2">
        <v>0</v>
      </c>
      <c r="AE46" s="2">
        <v>0</v>
      </c>
      <c r="AF46" s="2">
        <v>0</v>
      </c>
      <c r="AG46" s="2">
        <v>0</v>
      </c>
      <c r="AH46" s="2">
        <v>0</v>
      </c>
      <c r="AI46" s="2">
        <v>0</v>
      </c>
      <c r="AJ46" s="2">
        <v>0</v>
      </c>
      <c r="AK46" s="2">
        <v>0</v>
      </c>
      <c r="AL46" s="2">
        <v>0</v>
      </c>
      <c r="AM46" s="2">
        <v>0</v>
      </c>
      <c r="AN46" s="2">
        <v>0</v>
      </c>
      <c r="AO46" s="2">
        <v>0</v>
      </c>
      <c r="AP46" s="2">
        <v>0</v>
      </c>
      <c r="AS46" s="19" t="s">
        <v>374</v>
      </c>
      <c r="AT46" s="2">
        <v>857</v>
      </c>
      <c r="BZ46" s="2"/>
      <c r="CA46" s="19" t="s">
        <v>103</v>
      </c>
      <c r="CB46" s="2">
        <v>0</v>
      </c>
      <c r="CC46" s="2">
        <v>0</v>
      </c>
      <c r="CD46" s="2">
        <v>0</v>
      </c>
      <c r="CE46" s="2">
        <v>0</v>
      </c>
      <c r="CF46" s="2">
        <v>0</v>
      </c>
      <c r="CG46" s="2">
        <v>0</v>
      </c>
      <c r="CH46" s="2">
        <v>0</v>
      </c>
      <c r="CI46" s="2">
        <v>0</v>
      </c>
      <c r="CJ46" s="2">
        <v>0</v>
      </c>
      <c r="CK46" s="2">
        <v>0</v>
      </c>
      <c r="CL46" s="2">
        <v>0</v>
      </c>
      <c r="CM46" s="2">
        <v>0</v>
      </c>
      <c r="CN46" s="2">
        <v>0</v>
      </c>
      <c r="CP46" s="2"/>
      <c r="CR46" s="19" t="s">
        <v>374</v>
      </c>
      <c r="CS46" s="2">
        <v>146</v>
      </c>
    </row>
    <row r="47" spans="29:97" x14ac:dyDescent="0.25">
      <c r="AC47" s="19" t="s">
        <v>289</v>
      </c>
      <c r="AD47" s="2">
        <v>12</v>
      </c>
      <c r="AE47" s="2">
        <v>4</v>
      </c>
      <c r="AF47" s="2">
        <v>291</v>
      </c>
      <c r="AG47" s="2">
        <v>69</v>
      </c>
      <c r="AH47" s="2">
        <v>107</v>
      </c>
      <c r="AI47" s="2">
        <v>303</v>
      </c>
      <c r="AJ47" s="2">
        <v>436</v>
      </c>
      <c r="AK47" s="2">
        <v>269</v>
      </c>
      <c r="AL47" s="2">
        <v>248</v>
      </c>
      <c r="AM47" s="2">
        <v>226</v>
      </c>
      <c r="AN47" s="2">
        <v>38</v>
      </c>
      <c r="AO47" s="2">
        <v>226</v>
      </c>
      <c r="AP47" s="2">
        <v>213</v>
      </c>
      <c r="AS47" s="19" t="s">
        <v>375</v>
      </c>
      <c r="AT47" s="2">
        <v>934</v>
      </c>
      <c r="BZ47" s="2"/>
      <c r="CA47" s="19" t="s">
        <v>289</v>
      </c>
      <c r="CB47" s="2">
        <v>0</v>
      </c>
      <c r="CC47" s="2">
        <v>51</v>
      </c>
      <c r="CD47" s="2">
        <v>2</v>
      </c>
      <c r="CE47" s="2">
        <v>25</v>
      </c>
      <c r="CF47" s="2">
        <v>41</v>
      </c>
      <c r="CG47" s="2">
        <v>0</v>
      </c>
      <c r="CH47" s="2">
        <v>21</v>
      </c>
      <c r="CI47" s="2">
        <v>8</v>
      </c>
      <c r="CJ47" s="2">
        <v>16</v>
      </c>
      <c r="CK47" s="2">
        <v>14</v>
      </c>
      <c r="CL47" s="2">
        <v>64</v>
      </c>
      <c r="CM47" s="2">
        <v>46</v>
      </c>
      <c r="CN47" s="2">
        <v>31</v>
      </c>
      <c r="CP47" s="2"/>
      <c r="CR47" s="19" t="s">
        <v>375</v>
      </c>
      <c r="CS47" s="2">
        <v>150</v>
      </c>
    </row>
    <row r="48" spans="29:97" x14ac:dyDescent="0.25">
      <c r="AC48" s="19" t="s">
        <v>104</v>
      </c>
      <c r="AD48" s="2">
        <v>0</v>
      </c>
      <c r="AE48" s="2">
        <v>0</v>
      </c>
      <c r="AF48" s="2">
        <v>0</v>
      </c>
      <c r="AG48" s="2">
        <v>0</v>
      </c>
      <c r="AH48" s="2">
        <v>0</v>
      </c>
      <c r="AI48" s="2">
        <v>0</v>
      </c>
      <c r="AJ48" s="2">
        <v>0</v>
      </c>
      <c r="AK48" s="2">
        <v>0</v>
      </c>
      <c r="AL48" s="2">
        <v>0</v>
      </c>
      <c r="AM48" s="2">
        <v>0</v>
      </c>
      <c r="AN48" s="2">
        <v>0</v>
      </c>
      <c r="AO48" s="2">
        <v>0</v>
      </c>
      <c r="AP48" s="2">
        <v>0</v>
      </c>
      <c r="AS48" s="19" t="s">
        <v>378</v>
      </c>
      <c r="AT48" s="2">
        <v>826</v>
      </c>
      <c r="BZ48" s="2"/>
      <c r="CA48" s="19" t="s">
        <v>104</v>
      </c>
      <c r="CB48" s="2">
        <v>0</v>
      </c>
      <c r="CC48" s="2">
        <v>0</v>
      </c>
      <c r="CD48" s="2">
        <v>0</v>
      </c>
      <c r="CE48" s="2">
        <v>0</v>
      </c>
      <c r="CF48" s="2">
        <v>0</v>
      </c>
      <c r="CG48" s="2">
        <v>0</v>
      </c>
      <c r="CH48" s="2">
        <v>0</v>
      </c>
      <c r="CI48" s="2">
        <v>0</v>
      </c>
      <c r="CJ48" s="2">
        <v>0</v>
      </c>
      <c r="CK48" s="2">
        <v>0</v>
      </c>
      <c r="CL48" s="2">
        <v>0</v>
      </c>
      <c r="CM48" s="2">
        <v>0</v>
      </c>
      <c r="CN48" s="2">
        <v>0</v>
      </c>
      <c r="CP48" s="2"/>
      <c r="CR48" s="19" t="s">
        <v>378</v>
      </c>
      <c r="CS48" s="2">
        <v>128</v>
      </c>
    </row>
    <row r="49" spans="29:97" x14ac:dyDescent="0.25">
      <c r="AC49" s="19" t="s">
        <v>105</v>
      </c>
      <c r="AD49" s="2">
        <v>0</v>
      </c>
      <c r="AE49" s="2">
        <v>0</v>
      </c>
      <c r="AF49" s="2">
        <v>0</v>
      </c>
      <c r="AG49" s="2">
        <v>0</v>
      </c>
      <c r="AH49" s="2">
        <v>0</v>
      </c>
      <c r="AI49" s="2">
        <v>4</v>
      </c>
      <c r="AJ49" s="2">
        <v>98</v>
      </c>
      <c r="AK49" s="2">
        <v>6</v>
      </c>
      <c r="AL49" s="2">
        <v>12</v>
      </c>
      <c r="AM49" s="2">
        <v>0</v>
      </c>
      <c r="AN49" s="2">
        <v>0</v>
      </c>
      <c r="AO49" s="2">
        <v>0</v>
      </c>
      <c r="AP49" s="2">
        <v>0</v>
      </c>
      <c r="AS49" s="19" t="s">
        <v>379</v>
      </c>
      <c r="AT49" s="2">
        <v>658</v>
      </c>
      <c r="BZ49" s="2"/>
      <c r="CA49" s="19" t="s">
        <v>105</v>
      </c>
      <c r="CB49" s="2">
        <v>0</v>
      </c>
      <c r="CC49" s="2">
        <v>0</v>
      </c>
      <c r="CD49" s="2">
        <v>0</v>
      </c>
      <c r="CE49" s="2">
        <v>0</v>
      </c>
      <c r="CF49" s="2">
        <v>0</v>
      </c>
      <c r="CG49" s="2">
        <v>0</v>
      </c>
      <c r="CH49" s="2">
        <v>0</v>
      </c>
      <c r="CI49" s="2">
        <v>0</v>
      </c>
      <c r="CJ49" s="2">
        <v>0</v>
      </c>
      <c r="CK49" s="2">
        <v>0</v>
      </c>
      <c r="CL49" s="2">
        <v>1</v>
      </c>
      <c r="CM49" s="2">
        <v>0</v>
      </c>
      <c r="CN49" s="2">
        <v>0</v>
      </c>
      <c r="CP49" s="2"/>
      <c r="CR49" s="19" t="s">
        <v>379</v>
      </c>
      <c r="CS49" s="2">
        <v>115</v>
      </c>
    </row>
    <row r="50" spans="29:97" x14ac:dyDescent="0.25">
      <c r="AC50" s="19" t="s">
        <v>106</v>
      </c>
      <c r="AD50" s="2">
        <v>0</v>
      </c>
      <c r="AE50" s="2">
        <v>0</v>
      </c>
      <c r="AF50" s="2">
        <v>0</v>
      </c>
      <c r="AG50" s="2">
        <v>0</v>
      </c>
      <c r="AH50" s="2">
        <v>0</v>
      </c>
      <c r="AI50" s="2">
        <v>0</v>
      </c>
      <c r="AJ50" s="2">
        <v>0</v>
      </c>
      <c r="AK50" s="2">
        <v>0</v>
      </c>
      <c r="AL50" s="2">
        <v>0</v>
      </c>
      <c r="AM50" s="2">
        <v>0</v>
      </c>
      <c r="AN50" s="2">
        <v>0</v>
      </c>
      <c r="AO50" s="2">
        <v>0</v>
      </c>
      <c r="AP50" s="2">
        <v>0</v>
      </c>
      <c r="AS50" s="19" t="s">
        <v>380</v>
      </c>
      <c r="AT50" s="2">
        <v>469</v>
      </c>
      <c r="BZ50" s="2"/>
      <c r="CA50" s="19" t="s">
        <v>106</v>
      </c>
      <c r="CB50" s="2">
        <v>0</v>
      </c>
      <c r="CC50" s="2">
        <v>0</v>
      </c>
      <c r="CD50" s="2">
        <v>0</v>
      </c>
      <c r="CE50" s="2">
        <v>0</v>
      </c>
      <c r="CF50" s="2">
        <v>0</v>
      </c>
      <c r="CG50" s="2">
        <v>0</v>
      </c>
      <c r="CH50" s="2">
        <v>0</v>
      </c>
      <c r="CI50" s="2">
        <v>0</v>
      </c>
      <c r="CJ50" s="2">
        <v>0</v>
      </c>
      <c r="CK50" s="2">
        <v>0</v>
      </c>
      <c r="CL50" s="2">
        <v>0</v>
      </c>
      <c r="CM50" s="2">
        <v>0</v>
      </c>
      <c r="CN50" s="2">
        <v>0</v>
      </c>
      <c r="CP50" s="2"/>
      <c r="CR50" s="19" t="s">
        <v>380</v>
      </c>
      <c r="CS50" s="2">
        <v>79</v>
      </c>
    </row>
    <row r="51" spans="29:97" x14ac:dyDescent="0.25">
      <c r="AC51" s="19" t="s">
        <v>107</v>
      </c>
      <c r="AD51" s="2">
        <v>0</v>
      </c>
      <c r="AE51" s="2">
        <v>0</v>
      </c>
      <c r="AF51" s="2">
        <v>0</v>
      </c>
      <c r="AG51" s="2">
        <v>0</v>
      </c>
      <c r="AH51" s="2">
        <v>0</v>
      </c>
      <c r="AI51" s="2">
        <v>0</v>
      </c>
      <c r="AJ51" s="2">
        <v>0</v>
      </c>
      <c r="AK51" s="2">
        <v>80</v>
      </c>
      <c r="AL51" s="2">
        <v>252</v>
      </c>
      <c r="AM51" s="2">
        <v>80</v>
      </c>
      <c r="AN51" s="2">
        <v>42</v>
      </c>
      <c r="AO51" s="2">
        <v>12</v>
      </c>
      <c r="AP51" s="2">
        <v>0</v>
      </c>
      <c r="AS51" s="19" t="s">
        <v>381</v>
      </c>
      <c r="AT51" s="2">
        <v>493</v>
      </c>
      <c r="BZ51" s="2"/>
      <c r="CA51" s="19" t="s">
        <v>107</v>
      </c>
      <c r="CB51" s="2">
        <v>0</v>
      </c>
      <c r="CC51" s="2">
        <v>4</v>
      </c>
      <c r="CD51" s="2">
        <v>2</v>
      </c>
      <c r="CE51" s="2">
        <v>1</v>
      </c>
      <c r="CF51" s="2">
        <v>0</v>
      </c>
      <c r="CG51" s="2">
        <v>0</v>
      </c>
      <c r="CH51" s="2">
        <v>0</v>
      </c>
      <c r="CI51" s="2">
        <v>0</v>
      </c>
      <c r="CJ51" s="2">
        <v>0</v>
      </c>
      <c r="CK51" s="2">
        <v>0</v>
      </c>
      <c r="CL51" s="2">
        <v>0</v>
      </c>
      <c r="CM51" s="2">
        <v>0</v>
      </c>
      <c r="CN51" s="2">
        <v>16</v>
      </c>
      <c r="CP51" s="2"/>
      <c r="CR51" s="19" t="s">
        <v>381</v>
      </c>
      <c r="CS51" s="2">
        <v>76</v>
      </c>
    </row>
    <row r="52" spans="29:97" x14ac:dyDescent="0.25">
      <c r="AC52" s="19" t="s">
        <v>108</v>
      </c>
      <c r="AD52" s="2">
        <v>12</v>
      </c>
      <c r="AE52" s="2">
        <v>4</v>
      </c>
      <c r="AF52" s="2">
        <v>19</v>
      </c>
      <c r="AG52" s="2">
        <v>46</v>
      </c>
      <c r="AH52" s="2">
        <v>4</v>
      </c>
      <c r="AI52" s="2">
        <v>48</v>
      </c>
      <c r="AJ52" s="2">
        <v>0</v>
      </c>
      <c r="AK52" s="2">
        <v>6</v>
      </c>
      <c r="AL52" s="2">
        <v>12</v>
      </c>
      <c r="AM52" s="2">
        <v>34</v>
      </c>
      <c r="AN52" s="2">
        <v>45</v>
      </c>
      <c r="AO52" s="2">
        <v>2</v>
      </c>
      <c r="AP52" s="2">
        <v>0</v>
      </c>
      <c r="AS52" s="19" t="s">
        <v>382</v>
      </c>
      <c r="AT52" s="2">
        <v>581</v>
      </c>
      <c r="BZ52" s="2"/>
      <c r="CA52" s="19" t="s">
        <v>108</v>
      </c>
      <c r="CB52" s="2">
        <v>3</v>
      </c>
      <c r="CC52" s="2">
        <v>7</v>
      </c>
      <c r="CD52" s="2">
        <v>10</v>
      </c>
      <c r="CE52" s="2">
        <v>1</v>
      </c>
      <c r="CF52" s="2">
        <v>0</v>
      </c>
      <c r="CG52" s="2">
        <v>1</v>
      </c>
      <c r="CH52" s="2">
        <v>3</v>
      </c>
      <c r="CI52" s="2">
        <v>21</v>
      </c>
      <c r="CJ52" s="2">
        <v>2</v>
      </c>
      <c r="CK52" s="2">
        <v>4</v>
      </c>
      <c r="CL52" s="2">
        <v>0</v>
      </c>
      <c r="CM52" s="2">
        <v>1</v>
      </c>
      <c r="CN52" s="2">
        <v>3</v>
      </c>
      <c r="CP52" s="2"/>
      <c r="CR52" s="19" t="s">
        <v>382</v>
      </c>
      <c r="CS52" s="2">
        <v>91</v>
      </c>
    </row>
    <row r="53" spans="29:97" x14ac:dyDescent="0.25">
      <c r="AC53" s="19" t="s">
        <v>109</v>
      </c>
      <c r="AD53" s="2">
        <v>142</v>
      </c>
      <c r="AE53" s="2">
        <v>62</v>
      </c>
      <c r="AF53" s="2">
        <v>150</v>
      </c>
      <c r="AG53" s="2">
        <v>174</v>
      </c>
      <c r="AH53" s="2">
        <v>176</v>
      </c>
      <c r="AI53" s="2">
        <v>186</v>
      </c>
      <c r="AJ53" s="2">
        <v>186</v>
      </c>
      <c r="AK53" s="2">
        <v>263</v>
      </c>
      <c r="AL53" s="2">
        <v>384</v>
      </c>
      <c r="AM53" s="2">
        <v>334</v>
      </c>
      <c r="AN53" s="2">
        <v>203</v>
      </c>
      <c r="AO53" s="2">
        <v>104</v>
      </c>
      <c r="AP53" s="2">
        <v>18</v>
      </c>
      <c r="AS53" s="19" t="s">
        <v>383</v>
      </c>
      <c r="AT53" s="2">
        <v>591</v>
      </c>
      <c r="BZ53" s="2"/>
      <c r="CA53" s="19" t="s">
        <v>109</v>
      </c>
      <c r="CB53" s="2">
        <v>37</v>
      </c>
      <c r="CC53" s="2">
        <v>59</v>
      </c>
      <c r="CD53" s="2">
        <v>35</v>
      </c>
      <c r="CE53" s="2">
        <v>21</v>
      </c>
      <c r="CF53" s="2">
        <v>4</v>
      </c>
      <c r="CG53" s="2">
        <v>37</v>
      </c>
      <c r="CH53" s="2">
        <v>64</v>
      </c>
      <c r="CI53" s="2">
        <v>37</v>
      </c>
      <c r="CJ53" s="2">
        <v>44</v>
      </c>
      <c r="CK53" s="2">
        <v>33</v>
      </c>
      <c r="CL53" s="2">
        <v>29</v>
      </c>
      <c r="CM53" s="2">
        <v>50</v>
      </c>
      <c r="CN53" s="2">
        <v>62</v>
      </c>
      <c r="CP53" s="2"/>
      <c r="CR53" s="19" t="s">
        <v>383</v>
      </c>
      <c r="CS53" s="2">
        <v>87</v>
      </c>
    </row>
    <row r="54" spans="29:97" x14ac:dyDescent="0.25">
      <c r="AC54" s="19" t="s">
        <v>110</v>
      </c>
      <c r="AD54" s="2">
        <v>0</v>
      </c>
      <c r="AE54" s="2">
        <v>0</v>
      </c>
      <c r="AF54" s="2">
        <v>0</v>
      </c>
      <c r="AG54" s="2">
        <v>0</v>
      </c>
      <c r="AH54" s="2">
        <v>0</v>
      </c>
      <c r="AI54" s="2">
        <v>0</v>
      </c>
      <c r="AJ54" s="2">
        <v>0</v>
      </c>
      <c r="AK54" s="2">
        <v>0</v>
      </c>
      <c r="AL54" s="2">
        <v>0</v>
      </c>
      <c r="AM54" s="2">
        <v>0</v>
      </c>
      <c r="AN54" s="2">
        <v>0</v>
      </c>
      <c r="AO54" s="2">
        <v>0</v>
      </c>
      <c r="AP54" s="2">
        <v>0</v>
      </c>
      <c r="AS54" s="19" t="s">
        <v>384</v>
      </c>
      <c r="AT54" s="2">
        <v>769</v>
      </c>
      <c r="BZ54" s="2"/>
      <c r="CA54" s="19" t="s">
        <v>110</v>
      </c>
      <c r="CB54" s="2">
        <v>0</v>
      </c>
      <c r="CC54" s="2">
        <v>0</v>
      </c>
      <c r="CD54" s="2">
        <v>0</v>
      </c>
      <c r="CE54" s="2">
        <v>0</v>
      </c>
      <c r="CF54" s="2">
        <v>0</v>
      </c>
      <c r="CG54" s="2">
        <v>0</v>
      </c>
      <c r="CH54" s="2">
        <v>0</v>
      </c>
      <c r="CI54" s="2">
        <v>0</v>
      </c>
      <c r="CJ54" s="2">
        <v>0</v>
      </c>
      <c r="CK54" s="2">
        <v>0</v>
      </c>
      <c r="CL54" s="2">
        <v>0</v>
      </c>
      <c r="CM54" s="2">
        <v>0</v>
      </c>
      <c r="CN54" s="2">
        <v>0</v>
      </c>
      <c r="CP54" s="2"/>
      <c r="CR54" s="19" t="s">
        <v>384</v>
      </c>
      <c r="CS54" s="2">
        <v>121</v>
      </c>
    </row>
    <row r="55" spans="29:97" x14ac:dyDescent="0.25">
      <c r="AC55" s="19" t="s">
        <v>111</v>
      </c>
      <c r="AD55" s="2">
        <v>0</v>
      </c>
      <c r="AE55" s="2">
        <v>0</v>
      </c>
      <c r="AF55" s="2">
        <v>0</v>
      </c>
      <c r="AG55" s="2">
        <v>0</v>
      </c>
      <c r="AH55" s="2">
        <v>16</v>
      </c>
      <c r="AI55" s="2">
        <v>0</v>
      </c>
      <c r="AJ55" s="2">
        <v>0</v>
      </c>
      <c r="AK55" s="2">
        <v>0</v>
      </c>
      <c r="AL55" s="2">
        <v>0</v>
      </c>
      <c r="AM55" s="2">
        <v>0</v>
      </c>
      <c r="AN55" s="2">
        <v>0</v>
      </c>
      <c r="AO55" s="2">
        <v>0</v>
      </c>
      <c r="AP55" s="2">
        <v>0</v>
      </c>
      <c r="AS55" s="19" t="s">
        <v>387</v>
      </c>
      <c r="AT55" s="2">
        <v>738</v>
      </c>
      <c r="BZ55" s="2"/>
      <c r="CA55" s="19" t="s">
        <v>111</v>
      </c>
      <c r="CB55" s="2">
        <v>0</v>
      </c>
      <c r="CC55" s="2">
        <v>0</v>
      </c>
      <c r="CD55" s="2">
        <v>0</v>
      </c>
      <c r="CE55" s="2">
        <v>0</v>
      </c>
      <c r="CF55" s="2">
        <v>0</v>
      </c>
      <c r="CG55" s="2">
        <v>0</v>
      </c>
      <c r="CH55" s="2">
        <v>0</v>
      </c>
      <c r="CI55" s="2">
        <v>0</v>
      </c>
      <c r="CJ55" s="2">
        <v>4</v>
      </c>
      <c r="CK55" s="2">
        <v>0</v>
      </c>
      <c r="CL55" s="2">
        <v>0</v>
      </c>
      <c r="CM55" s="2">
        <v>0</v>
      </c>
      <c r="CN55" s="2">
        <v>0</v>
      </c>
      <c r="CP55" s="2"/>
      <c r="CR55" s="19" t="s">
        <v>387</v>
      </c>
      <c r="CS55" s="2">
        <v>144</v>
      </c>
    </row>
    <row r="56" spans="29:97" x14ac:dyDescent="0.25">
      <c r="AC56" s="19" t="s">
        <v>112</v>
      </c>
      <c r="AD56" s="2">
        <v>44</v>
      </c>
      <c r="AE56" s="2">
        <v>0</v>
      </c>
      <c r="AF56" s="2">
        <v>0</v>
      </c>
      <c r="AG56" s="2">
        <v>0</v>
      </c>
      <c r="AH56" s="2">
        <v>24</v>
      </c>
      <c r="AI56" s="2">
        <v>8</v>
      </c>
      <c r="AJ56" s="2">
        <v>0</v>
      </c>
      <c r="AK56" s="2">
        <v>0</v>
      </c>
      <c r="AL56" s="2">
        <v>0</v>
      </c>
      <c r="AM56" s="2">
        <v>0</v>
      </c>
      <c r="AN56" s="2">
        <v>0</v>
      </c>
      <c r="AO56" s="2">
        <v>0</v>
      </c>
      <c r="AP56" s="2">
        <v>0</v>
      </c>
      <c r="AS56" s="19" t="s">
        <v>388</v>
      </c>
      <c r="AT56" s="2">
        <v>763</v>
      </c>
      <c r="BZ56" s="2"/>
      <c r="CA56" s="19" t="s">
        <v>112</v>
      </c>
      <c r="CB56" s="2">
        <v>15</v>
      </c>
      <c r="CC56" s="2">
        <v>0</v>
      </c>
      <c r="CD56" s="2">
        <v>0</v>
      </c>
      <c r="CE56" s="2">
        <v>0</v>
      </c>
      <c r="CF56" s="2">
        <v>0</v>
      </c>
      <c r="CG56" s="2">
        <v>0</v>
      </c>
      <c r="CH56" s="2">
        <v>0</v>
      </c>
      <c r="CI56" s="2">
        <v>0</v>
      </c>
      <c r="CJ56" s="2">
        <v>0</v>
      </c>
      <c r="CK56" s="2">
        <v>0</v>
      </c>
      <c r="CL56" s="2">
        <v>0</v>
      </c>
      <c r="CM56" s="2">
        <v>0</v>
      </c>
      <c r="CN56" s="2">
        <v>0</v>
      </c>
      <c r="CP56" s="2"/>
      <c r="CR56" s="19" t="s">
        <v>388</v>
      </c>
      <c r="CS56" s="2">
        <v>138</v>
      </c>
    </row>
    <row r="57" spans="29:97" x14ac:dyDescent="0.25">
      <c r="AC57" s="19" t="s">
        <v>290</v>
      </c>
      <c r="AD57" s="2">
        <v>2</v>
      </c>
      <c r="AE57" s="2">
        <v>13</v>
      </c>
      <c r="AF57" s="2">
        <v>14</v>
      </c>
      <c r="AG57" s="2">
        <v>111</v>
      </c>
      <c r="AH57" s="2">
        <v>212</v>
      </c>
      <c r="AI57" s="2">
        <v>119</v>
      </c>
      <c r="AJ57" s="2">
        <v>103</v>
      </c>
      <c r="AK57" s="2">
        <v>13</v>
      </c>
      <c r="AL57" s="2">
        <v>13</v>
      </c>
      <c r="AM57" s="2">
        <v>12</v>
      </c>
      <c r="AN57" s="2">
        <v>0</v>
      </c>
      <c r="AO57" s="2">
        <v>50</v>
      </c>
      <c r="AP57" s="2">
        <v>5</v>
      </c>
      <c r="AS57" s="19" t="s">
        <v>389</v>
      </c>
      <c r="AT57" s="2">
        <v>734</v>
      </c>
      <c r="BZ57" s="2"/>
      <c r="CA57" s="19" t="s">
        <v>290</v>
      </c>
      <c r="CB57" s="2">
        <v>2</v>
      </c>
      <c r="CC57" s="2">
        <v>6</v>
      </c>
      <c r="CD57" s="2">
        <v>0</v>
      </c>
      <c r="CE57" s="2">
        <v>12</v>
      </c>
      <c r="CF57" s="2">
        <v>5</v>
      </c>
      <c r="CG57" s="2">
        <v>13</v>
      </c>
      <c r="CH57" s="2">
        <v>14</v>
      </c>
      <c r="CI57" s="2">
        <v>10</v>
      </c>
      <c r="CJ57" s="2">
        <v>33</v>
      </c>
      <c r="CK57" s="2">
        <v>8</v>
      </c>
      <c r="CL57" s="2">
        <v>7</v>
      </c>
      <c r="CM57" s="2">
        <v>2</v>
      </c>
      <c r="CN57" s="2">
        <v>7</v>
      </c>
      <c r="CP57" s="2"/>
      <c r="CR57" s="19" t="s">
        <v>389</v>
      </c>
      <c r="CS57" s="2">
        <v>146</v>
      </c>
    </row>
    <row r="58" spans="29:97" x14ac:dyDescent="0.25">
      <c r="AC58" s="19" t="s">
        <v>235</v>
      </c>
      <c r="AD58" s="2">
        <v>11</v>
      </c>
      <c r="AE58" s="2">
        <v>7</v>
      </c>
      <c r="AF58" s="2">
        <v>9</v>
      </c>
      <c r="AG58" s="2">
        <v>1</v>
      </c>
      <c r="AH58" s="2">
        <v>23</v>
      </c>
      <c r="AI58" s="2">
        <v>26</v>
      </c>
      <c r="AJ58" s="2">
        <v>18</v>
      </c>
      <c r="AK58" s="2">
        <v>9</v>
      </c>
      <c r="AL58" s="2">
        <v>13</v>
      </c>
      <c r="AM58" s="2">
        <v>11</v>
      </c>
      <c r="AN58" s="2">
        <v>10</v>
      </c>
      <c r="AO58" s="2">
        <v>32</v>
      </c>
      <c r="AP58" s="2">
        <v>10</v>
      </c>
      <c r="AS58" s="19" t="s">
        <v>390</v>
      </c>
      <c r="AT58" s="2">
        <v>734</v>
      </c>
      <c r="BZ58" s="2"/>
      <c r="CA58" s="19" t="s">
        <v>235</v>
      </c>
      <c r="CB58" s="2">
        <v>2</v>
      </c>
      <c r="CC58" s="2">
        <v>3</v>
      </c>
      <c r="CD58" s="2">
        <v>2</v>
      </c>
      <c r="CE58" s="2">
        <v>23</v>
      </c>
      <c r="CF58" s="2">
        <v>0</v>
      </c>
      <c r="CG58" s="2">
        <v>1</v>
      </c>
      <c r="CH58" s="2">
        <v>2</v>
      </c>
      <c r="CI58" s="2">
        <v>0</v>
      </c>
      <c r="CJ58" s="2">
        <v>8</v>
      </c>
      <c r="CK58" s="2">
        <v>7</v>
      </c>
      <c r="CL58" s="2">
        <v>6</v>
      </c>
      <c r="CM58" s="2">
        <v>2</v>
      </c>
      <c r="CN58" s="2">
        <v>5</v>
      </c>
      <c r="CP58" s="2"/>
      <c r="CR58" s="19" t="s">
        <v>390</v>
      </c>
      <c r="CS58" s="2">
        <v>131</v>
      </c>
    </row>
    <row r="59" spans="29:97" x14ac:dyDescent="0.25">
      <c r="AC59" s="19" t="s">
        <v>113</v>
      </c>
      <c r="AD59" s="2">
        <v>0</v>
      </c>
      <c r="AE59" s="2">
        <v>13</v>
      </c>
      <c r="AF59" s="2">
        <v>32</v>
      </c>
      <c r="AG59" s="2">
        <v>0</v>
      </c>
      <c r="AH59" s="2">
        <v>0</v>
      </c>
      <c r="AI59" s="2">
        <v>0</v>
      </c>
      <c r="AJ59" s="2">
        <v>16</v>
      </c>
      <c r="AK59" s="2">
        <v>0</v>
      </c>
      <c r="AL59" s="2">
        <v>6</v>
      </c>
      <c r="AM59" s="2">
        <v>0</v>
      </c>
      <c r="AN59" s="2">
        <v>0</v>
      </c>
      <c r="AO59" s="2">
        <v>2</v>
      </c>
      <c r="AP59" s="2">
        <v>0</v>
      </c>
      <c r="AS59" s="19" t="s">
        <v>391</v>
      </c>
      <c r="AT59" s="2">
        <v>833</v>
      </c>
      <c r="BZ59" s="2"/>
      <c r="CA59" s="19" t="s">
        <v>113</v>
      </c>
      <c r="CB59" s="2">
        <v>0</v>
      </c>
      <c r="CC59" s="2">
        <v>0</v>
      </c>
      <c r="CD59" s="2">
        <v>0</v>
      </c>
      <c r="CE59" s="2">
        <v>2</v>
      </c>
      <c r="CF59" s="2">
        <v>0</v>
      </c>
      <c r="CG59" s="2">
        <v>3</v>
      </c>
      <c r="CH59" s="2">
        <v>9</v>
      </c>
      <c r="CI59" s="2">
        <v>0</v>
      </c>
      <c r="CJ59" s="2">
        <v>0</v>
      </c>
      <c r="CK59" s="2">
        <v>0</v>
      </c>
      <c r="CL59" s="2">
        <v>5</v>
      </c>
      <c r="CM59" s="2">
        <v>0</v>
      </c>
      <c r="CN59" s="2">
        <v>0</v>
      </c>
      <c r="CP59" s="2"/>
      <c r="CR59" s="19" t="s">
        <v>391</v>
      </c>
      <c r="CS59" s="2">
        <v>165</v>
      </c>
    </row>
    <row r="60" spans="29:97" x14ac:dyDescent="0.25">
      <c r="AC60" s="19" t="s">
        <v>114</v>
      </c>
      <c r="AD60" s="2">
        <v>0</v>
      </c>
      <c r="AE60" s="2">
        <v>0</v>
      </c>
      <c r="AF60" s="2">
        <v>0</v>
      </c>
      <c r="AG60" s="2">
        <v>0</v>
      </c>
      <c r="AH60" s="2">
        <v>0</v>
      </c>
      <c r="AI60" s="2">
        <v>0</v>
      </c>
      <c r="AJ60" s="2">
        <v>0</v>
      </c>
      <c r="AK60" s="2">
        <v>0</v>
      </c>
      <c r="AL60" s="2">
        <v>0</v>
      </c>
      <c r="AM60" s="2">
        <v>0</v>
      </c>
      <c r="AN60" s="2">
        <v>0</v>
      </c>
      <c r="AO60" s="2">
        <v>0</v>
      </c>
      <c r="AP60" s="2">
        <v>0</v>
      </c>
      <c r="AS60" s="19" t="s">
        <v>392</v>
      </c>
      <c r="AT60" s="2">
        <v>786</v>
      </c>
      <c r="BZ60" s="2"/>
      <c r="CA60" s="19" t="s">
        <v>114</v>
      </c>
      <c r="CB60" s="2">
        <v>0</v>
      </c>
      <c r="CC60" s="2">
        <v>0</v>
      </c>
      <c r="CD60" s="2">
        <v>0</v>
      </c>
      <c r="CE60" s="2">
        <v>0</v>
      </c>
      <c r="CF60" s="2">
        <v>0</v>
      </c>
      <c r="CG60" s="2">
        <v>0</v>
      </c>
      <c r="CH60" s="2">
        <v>0</v>
      </c>
      <c r="CI60" s="2">
        <v>0</v>
      </c>
      <c r="CJ60" s="2">
        <v>0</v>
      </c>
      <c r="CK60" s="2">
        <v>0</v>
      </c>
      <c r="CL60" s="2">
        <v>0</v>
      </c>
      <c r="CM60" s="2">
        <v>0</v>
      </c>
      <c r="CN60" s="2">
        <v>0</v>
      </c>
      <c r="CP60" s="2"/>
      <c r="CR60" s="19" t="s">
        <v>392</v>
      </c>
      <c r="CS60" s="2">
        <v>147</v>
      </c>
    </row>
    <row r="61" spans="29:97" x14ac:dyDescent="0.25">
      <c r="AC61" s="19" t="s">
        <v>115</v>
      </c>
      <c r="AD61" s="2">
        <v>0</v>
      </c>
      <c r="AE61" s="2">
        <v>0</v>
      </c>
      <c r="AF61" s="2">
        <v>0</v>
      </c>
      <c r="AG61" s="2">
        <v>0</v>
      </c>
      <c r="AH61" s="2">
        <v>0</v>
      </c>
      <c r="AI61" s="2">
        <v>0</v>
      </c>
      <c r="AJ61" s="2">
        <v>0</v>
      </c>
      <c r="AK61" s="2">
        <v>0</v>
      </c>
      <c r="AL61" s="2">
        <v>0</v>
      </c>
      <c r="AM61" s="2">
        <v>0</v>
      </c>
      <c r="AN61" s="2">
        <v>0</v>
      </c>
      <c r="AO61" s="2">
        <v>0</v>
      </c>
      <c r="AP61" s="2">
        <v>0</v>
      </c>
      <c r="AS61" s="19" t="s">
        <v>393</v>
      </c>
      <c r="AT61" s="2">
        <v>826</v>
      </c>
      <c r="BZ61" s="2"/>
      <c r="CA61" s="19" t="s">
        <v>115</v>
      </c>
      <c r="CB61" s="2">
        <v>0</v>
      </c>
      <c r="CC61" s="2">
        <v>0</v>
      </c>
      <c r="CD61" s="2">
        <v>0</v>
      </c>
      <c r="CE61" s="2">
        <v>0</v>
      </c>
      <c r="CF61" s="2">
        <v>0</v>
      </c>
      <c r="CG61" s="2">
        <v>0</v>
      </c>
      <c r="CH61" s="2">
        <v>0</v>
      </c>
      <c r="CI61" s="2">
        <v>0</v>
      </c>
      <c r="CJ61" s="2">
        <v>0</v>
      </c>
      <c r="CK61" s="2">
        <v>0</v>
      </c>
      <c r="CL61" s="2">
        <v>0</v>
      </c>
      <c r="CM61" s="2">
        <v>0</v>
      </c>
      <c r="CN61" s="2">
        <v>0</v>
      </c>
      <c r="CP61" s="2"/>
      <c r="CR61" s="19" t="s">
        <v>393</v>
      </c>
      <c r="CS61" s="2">
        <v>149</v>
      </c>
    </row>
    <row r="62" spans="29:97" x14ac:dyDescent="0.25">
      <c r="AC62" s="19" t="s">
        <v>116</v>
      </c>
      <c r="AD62" s="2">
        <v>0</v>
      </c>
      <c r="AE62" s="2">
        <v>0</v>
      </c>
      <c r="AF62" s="2">
        <v>0</v>
      </c>
      <c r="AG62" s="2">
        <v>0</v>
      </c>
      <c r="AH62" s="2">
        <v>0</v>
      </c>
      <c r="AI62" s="2">
        <v>0</v>
      </c>
      <c r="AJ62" s="2">
        <v>0</v>
      </c>
      <c r="AK62" s="2">
        <v>0</v>
      </c>
      <c r="AL62" s="2">
        <v>0</v>
      </c>
      <c r="AM62" s="2">
        <v>0</v>
      </c>
      <c r="AN62" s="2">
        <v>0</v>
      </c>
      <c r="AO62" s="2">
        <v>0</v>
      </c>
      <c r="AP62" s="2">
        <v>0</v>
      </c>
      <c r="AS62" s="19" t="s">
        <v>396</v>
      </c>
      <c r="AT62" s="2">
        <v>830</v>
      </c>
      <c r="BZ62" s="2"/>
      <c r="CA62" s="19" t="s">
        <v>116</v>
      </c>
      <c r="CB62" s="2">
        <v>0</v>
      </c>
      <c r="CC62" s="2">
        <v>0</v>
      </c>
      <c r="CD62" s="2">
        <v>0</v>
      </c>
      <c r="CE62" s="2">
        <v>0</v>
      </c>
      <c r="CF62" s="2">
        <v>0</v>
      </c>
      <c r="CG62" s="2">
        <v>0</v>
      </c>
      <c r="CH62" s="2">
        <v>0</v>
      </c>
      <c r="CI62" s="2">
        <v>0</v>
      </c>
      <c r="CJ62" s="2">
        <v>0</v>
      </c>
      <c r="CK62" s="2">
        <v>0</v>
      </c>
      <c r="CL62" s="2">
        <v>0</v>
      </c>
      <c r="CM62" s="2">
        <v>0</v>
      </c>
      <c r="CN62" s="2">
        <v>0</v>
      </c>
      <c r="CP62" s="2"/>
      <c r="CR62" s="19" t="s">
        <v>396</v>
      </c>
      <c r="CS62" s="2">
        <v>129</v>
      </c>
    </row>
    <row r="63" spans="29:97" x14ac:dyDescent="0.25">
      <c r="AC63" s="19" t="s">
        <v>117</v>
      </c>
      <c r="AD63" s="2">
        <v>182</v>
      </c>
      <c r="AE63" s="2">
        <v>150</v>
      </c>
      <c r="AF63" s="2">
        <v>6</v>
      </c>
      <c r="AG63" s="2">
        <v>0</v>
      </c>
      <c r="AH63" s="2">
        <v>0</v>
      </c>
      <c r="AI63" s="2">
        <v>6</v>
      </c>
      <c r="AJ63" s="2">
        <v>0</v>
      </c>
      <c r="AK63" s="2">
        <v>0</v>
      </c>
      <c r="AL63" s="2">
        <v>0</v>
      </c>
      <c r="AM63" s="2">
        <v>0</v>
      </c>
      <c r="AN63" s="2">
        <v>0</v>
      </c>
      <c r="AO63" s="2">
        <v>0</v>
      </c>
      <c r="AP63" s="2">
        <v>56</v>
      </c>
      <c r="AS63" s="19" t="s">
        <v>397</v>
      </c>
      <c r="AT63" s="2">
        <v>816</v>
      </c>
      <c r="BZ63" s="2"/>
      <c r="CA63" s="19" t="s">
        <v>117</v>
      </c>
      <c r="CB63" s="2">
        <v>44</v>
      </c>
      <c r="CC63" s="2">
        <v>0</v>
      </c>
      <c r="CD63" s="2">
        <v>0</v>
      </c>
      <c r="CE63" s="2">
        <v>0</v>
      </c>
      <c r="CF63" s="2">
        <v>15</v>
      </c>
      <c r="CG63" s="2">
        <v>54</v>
      </c>
      <c r="CH63" s="2">
        <v>0</v>
      </c>
      <c r="CI63" s="2">
        <v>0</v>
      </c>
      <c r="CJ63" s="2">
        <v>0</v>
      </c>
      <c r="CK63" s="2">
        <v>0</v>
      </c>
      <c r="CL63" s="2">
        <v>0</v>
      </c>
      <c r="CM63" s="2">
        <v>0</v>
      </c>
      <c r="CN63" s="2">
        <v>0</v>
      </c>
      <c r="CP63" s="2"/>
      <c r="CR63" s="19" t="s">
        <v>397</v>
      </c>
      <c r="CS63" s="2">
        <v>151</v>
      </c>
    </row>
    <row r="64" spans="29:97" x14ac:dyDescent="0.25">
      <c r="AC64" s="19" t="s">
        <v>118</v>
      </c>
      <c r="AD64" s="2">
        <v>0</v>
      </c>
      <c r="AE64" s="2">
        <v>0</v>
      </c>
      <c r="AF64" s="2">
        <v>0</v>
      </c>
      <c r="AG64" s="2">
        <v>0</v>
      </c>
      <c r="AH64" s="2">
        <v>0</v>
      </c>
      <c r="AI64" s="2">
        <v>0</v>
      </c>
      <c r="AJ64" s="2">
        <v>0</v>
      </c>
      <c r="AK64" s="2">
        <v>60</v>
      </c>
      <c r="AL64" s="2">
        <v>0</v>
      </c>
      <c r="AM64" s="2">
        <v>0</v>
      </c>
      <c r="AN64" s="2">
        <v>0</v>
      </c>
      <c r="AO64" s="2">
        <v>0</v>
      </c>
      <c r="AP64" s="2">
        <v>0</v>
      </c>
      <c r="AS64" s="19" t="s">
        <v>398</v>
      </c>
      <c r="AT64" s="2">
        <v>770</v>
      </c>
      <c r="BZ64" s="2"/>
      <c r="CA64" s="19" t="s">
        <v>118</v>
      </c>
      <c r="CB64" s="2">
        <v>0</v>
      </c>
      <c r="CC64" s="2">
        <v>0</v>
      </c>
      <c r="CD64" s="2">
        <v>0</v>
      </c>
      <c r="CE64" s="2">
        <v>0</v>
      </c>
      <c r="CF64" s="2">
        <v>0</v>
      </c>
      <c r="CG64" s="2">
        <v>0</v>
      </c>
      <c r="CH64" s="2">
        <v>0</v>
      </c>
      <c r="CI64" s="2">
        <v>0</v>
      </c>
      <c r="CJ64" s="2">
        <v>0</v>
      </c>
      <c r="CK64" s="2">
        <v>0</v>
      </c>
      <c r="CL64" s="2">
        <v>0</v>
      </c>
      <c r="CM64" s="2">
        <v>6</v>
      </c>
      <c r="CN64" s="2">
        <v>0</v>
      </c>
      <c r="CP64" s="2"/>
      <c r="CR64" s="19" t="s">
        <v>398</v>
      </c>
      <c r="CS64" s="2">
        <v>164</v>
      </c>
    </row>
    <row r="65" spans="29:97" x14ac:dyDescent="0.25">
      <c r="AC65" s="19" t="s">
        <v>119</v>
      </c>
      <c r="AD65" s="2">
        <v>152</v>
      </c>
      <c r="AE65" s="2">
        <v>221</v>
      </c>
      <c r="AF65" s="2">
        <v>120</v>
      </c>
      <c r="AG65" s="2">
        <v>0</v>
      </c>
      <c r="AH65" s="2">
        <v>90</v>
      </c>
      <c r="AI65" s="2">
        <v>537</v>
      </c>
      <c r="AJ65" s="2">
        <v>121</v>
      </c>
      <c r="AK65" s="2">
        <v>22</v>
      </c>
      <c r="AL65" s="2">
        <v>8</v>
      </c>
      <c r="AM65" s="2">
        <v>164</v>
      </c>
      <c r="AN65" s="2">
        <v>176</v>
      </c>
      <c r="AO65" s="2">
        <v>63</v>
      </c>
      <c r="AP65" s="2">
        <v>122</v>
      </c>
      <c r="AS65" s="19" t="s">
        <v>399</v>
      </c>
      <c r="AT65" s="2">
        <v>804</v>
      </c>
      <c r="BZ65" s="2"/>
      <c r="CA65" s="19" t="s">
        <v>119</v>
      </c>
      <c r="CB65" s="2">
        <v>6</v>
      </c>
      <c r="CC65" s="2">
        <v>27</v>
      </c>
      <c r="CD65" s="2">
        <v>41</v>
      </c>
      <c r="CE65" s="2">
        <v>12</v>
      </c>
      <c r="CF65" s="2">
        <v>35</v>
      </c>
      <c r="CG65" s="2">
        <v>16</v>
      </c>
      <c r="CH65" s="2">
        <v>3</v>
      </c>
      <c r="CI65" s="2">
        <v>0</v>
      </c>
      <c r="CJ65" s="2">
        <v>14</v>
      </c>
      <c r="CK65" s="2">
        <v>94</v>
      </c>
      <c r="CL65" s="2">
        <v>22</v>
      </c>
      <c r="CM65" s="2">
        <v>2</v>
      </c>
      <c r="CN65" s="2">
        <v>4</v>
      </c>
      <c r="CP65" s="2"/>
      <c r="CR65" s="19" t="s">
        <v>399</v>
      </c>
      <c r="CS65" s="2">
        <v>145</v>
      </c>
    </row>
    <row r="66" spans="29:97" x14ac:dyDescent="0.25">
      <c r="AC66" s="19" t="s">
        <v>120</v>
      </c>
      <c r="AD66" s="2">
        <v>0</v>
      </c>
      <c r="AE66" s="2">
        <v>0</v>
      </c>
      <c r="AF66" s="2">
        <v>0</v>
      </c>
      <c r="AG66" s="2">
        <v>0</v>
      </c>
      <c r="AH66" s="2">
        <v>0</v>
      </c>
      <c r="AI66" s="2">
        <v>0</v>
      </c>
      <c r="AJ66" s="2">
        <v>0</v>
      </c>
      <c r="AK66" s="2">
        <v>0</v>
      </c>
      <c r="AL66" s="2">
        <v>0</v>
      </c>
      <c r="AM66" s="2">
        <v>0</v>
      </c>
      <c r="AN66" s="2">
        <v>0</v>
      </c>
      <c r="AO66" s="2">
        <v>0</v>
      </c>
      <c r="AP66" s="2">
        <v>0</v>
      </c>
      <c r="AS66" s="19" t="s">
        <v>400</v>
      </c>
      <c r="AT66" s="2">
        <v>779</v>
      </c>
      <c r="BZ66" s="2"/>
      <c r="CA66" s="19" t="s">
        <v>120</v>
      </c>
      <c r="CB66" s="2">
        <v>0</v>
      </c>
      <c r="CC66" s="2">
        <v>0</v>
      </c>
      <c r="CD66" s="2">
        <v>0</v>
      </c>
      <c r="CE66" s="2">
        <v>0</v>
      </c>
      <c r="CF66" s="2">
        <v>0</v>
      </c>
      <c r="CG66" s="2">
        <v>0</v>
      </c>
      <c r="CH66" s="2">
        <v>0</v>
      </c>
      <c r="CI66" s="2">
        <v>0</v>
      </c>
      <c r="CJ66" s="2">
        <v>0</v>
      </c>
      <c r="CK66" s="2">
        <v>0</v>
      </c>
      <c r="CL66" s="2">
        <v>0</v>
      </c>
      <c r="CM66" s="2">
        <v>0</v>
      </c>
      <c r="CN66" s="2">
        <v>0</v>
      </c>
      <c r="CP66" s="2"/>
      <c r="CR66" s="19" t="s">
        <v>400</v>
      </c>
      <c r="CS66" s="2">
        <v>166</v>
      </c>
    </row>
    <row r="67" spans="29:97" x14ac:dyDescent="0.25">
      <c r="AC67" s="19" t="s">
        <v>121</v>
      </c>
      <c r="AD67" s="2">
        <v>14</v>
      </c>
      <c r="AE67" s="2">
        <v>28</v>
      </c>
      <c r="AF67" s="2">
        <v>18</v>
      </c>
      <c r="AG67" s="2">
        <v>0</v>
      </c>
      <c r="AH67" s="2">
        <v>12</v>
      </c>
      <c r="AI67" s="2">
        <v>18</v>
      </c>
      <c r="AJ67" s="2">
        <v>7</v>
      </c>
      <c r="AK67" s="2">
        <v>82</v>
      </c>
      <c r="AL67" s="2">
        <v>156</v>
      </c>
      <c r="AM67" s="2">
        <v>447</v>
      </c>
      <c r="AN67" s="2">
        <v>745</v>
      </c>
      <c r="AO67" s="2">
        <v>432</v>
      </c>
      <c r="AP67" s="2">
        <v>398</v>
      </c>
      <c r="AS67" s="19" t="s">
        <v>401</v>
      </c>
      <c r="AT67" s="2">
        <v>747</v>
      </c>
      <c r="BZ67" s="2"/>
      <c r="CA67" s="19" t="s">
        <v>121</v>
      </c>
      <c r="CB67" s="2">
        <v>1</v>
      </c>
      <c r="CC67" s="2">
        <v>190</v>
      </c>
      <c r="CD67" s="2">
        <v>152</v>
      </c>
      <c r="CE67" s="2">
        <v>79</v>
      </c>
      <c r="CF67" s="2">
        <v>101</v>
      </c>
      <c r="CG67" s="2">
        <v>6</v>
      </c>
      <c r="CH67" s="2">
        <v>0</v>
      </c>
      <c r="CI67" s="2">
        <v>0</v>
      </c>
      <c r="CJ67" s="2">
        <v>2</v>
      </c>
      <c r="CK67" s="2">
        <v>5</v>
      </c>
      <c r="CL67" s="2">
        <v>2</v>
      </c>
      <c r="CM67" s="2">
        <v>11</v>
      </c>
      <c r="CN67" s="2">
        <v>53</v>
      </c>
      <c r="CP67" s="2"/>
      <c r="CR67" s="19" t="s">
        <v>401</v>
      </c>
      <c r="CS67" s="2">
        <v>143</v>
      </c>
    </row>
    <row r="68" spans="29:97" x14ac:dyDescent="0.25">
      <c r="AC68" s="19" t="s">
        <v>122</v>
      </c>
      <c r="AD68" s="2">
        <v>0</v>
      </c>
      <c r="AE68" s="2">
        <v>3</v>
      </c>
      <c r="AF68" s="2">
        <v>0</v>
      </c>
      <c r="AG68" s="2">
        <v>0</v>
      </c>
      <c r="AH68" s="2">
        <v>0</v>
      </c>
      <c r="AI68" s="2">
        <v>2</v>
      </c>
      <c r="AJ68" s="2">
        <v>0</v>
      </c>
      <c r="AK68" s="2">
        <v>0</v>
      </c>
      <c r="AL68" s="2">
        <v>0</v>
      </c>
      <c r="AM68" s="2">
        <v>0</v>
      </c>
      <c r="AN68" s="2">
        <v>0</v>
      </c>
      <c r="AO68" s="2">
        <v>0</v>
      </c>
      <c r="AP68" s="2">
        <v>0</v>
      </c>
      <c r="AS68" s="19" t="s">
        <v>402</v>
      </c>
      <c r="AT68" s="2">
        <v>679</v>
      </c>
      <c r="BZ68" s="2"/>
      <c r="CA68" s="19" t="s">
        <v>122</v>
      </c>
      <c r="CB68" s="2">
        <v>0</v>
      </c>
      <c r="CC68" s="2">
        <v>0</v>
      </c>
      <c r="CD68" s="2">
        <v>0</v>
      </c>
      <c r="CE68" s="2">
        <v>0</v>
      </c>
      <c r="CF68" s="2">
        <v>0</v>
      </c>
      <c r="CG68" s="2">
        <v>3</v>
      </c>
      <c r="CH68" s="2">
        <v>0</v>
      </c>
      <c r="CI68" s="2">
        <v>0</v>
      </c>
      <c r="CJ68" s="2">
        <v>0</v>
      </c>
      <c r="CK68" s="2">
        <v>1</v>
      </c>
      <c r="CL68" s="2">
        <v>0</v>
      </c>
      <c r="CM68" s="2">
        <v>0</v>
      </c>
      <c r="CN68" s="2">
        <v>0</v>
      </c>
      <c r="CP68" s="2"/>
      <c r="CR68" s="19" t="s">
        <v>402</v>
      </c>
      <c r="CS68" s="2">
        <v>125</v>
      </c>
    </row>
    <row r="69" spans="29:97" x14ac:dyDescent="0.25">
      <c r="AC69" s="19" t="s">
        <v>327</v>
      </c>
      <c r="AD69" s="2">
        <v>30</v>
      </c>
      <c r="AE69" s="2">
        <v>35</v>
      </c>
      <c r="AF69" s="2">
        <v>15</v>
      </c>
      <c r="AG69" s="2">
        <v>4</v>
      </c>
      <c r="AH69" s="2">
        <v>0</v>
      </c>
      <c r="AI69" s="2">
        <v>5</v>
      </c>
      <c r="AJ69" s="2">
        <v>0</v>
      </c>
      <c r="AK69" s="2">
        <v>5</v>
      </c>
      <c r="AL69" s="2">
        <v>8</v>
      </c>
      <c r="AM69" s="2">
        <v>0</v>
      </c>
      <c r="AN69" s="2">
        <v>0</v>
      </c>
      <c r="AO69" s="2">
        <v>0</v>
      </c>
      <c r="AP69" s="2">
        <v>0</v>
      </c>
      <c r="AS69" s="19" t="s">
        <v>405</v>
      </c>
      <c r="AT69" s="2">
        <v>676</v>
      </c>
      <c r="BZ69" s="2"/>
      <c r="CA69" s="19" t="s">
        <v>327</v>
      </c>
      <c r="CB69" s="2">
        <v>9</v>
      </c>
      <c r="CC69" s="2">
        <v>0</v>
      </c>
      <c r="CD69" s="2">
        <v>0</v>
      </c>
      <c r="CE69" s="2">
        <v>0</v>
      </c>
      <c r="CF69" s="2">
        <v>0</v>
      </c>
      <c r="CG69" s="2">
        <v>1</v>
      </c>
      <c r="CH69" s="2">
        <v>0</v>
      </c>
      <c r="CI69" s="2">
        <v>0</v>
      </c>
      <c r="CJ69" s="2">
        <v>0</v>
      </c>
      <c r="CK69" s="2">
        <v>1</v>
      </c>
      <c r="CL69" s="2">
        <v>0</v>
      </c>
      <c r="CM69" s="2">
        <v>1</v>
      </c>
      <c r="CN69" s="2">
        <v>0</v>
      </c>
      <c r="CP69" s="2"/>
      <c r="CR69" s="19" t="s">
        <v>405</v>
      </c>
      <c r="CS69" s="2">
        <v>105</v>
      </c>
    </row>
    <row r="70" spans="29:97" x14ac:dyDescent="0.25">
      <c r="AC70" s="19" t="s">
        <v>123</v>
      </c>
      <c r="AD70" s="2">
        <v>0</v>
      </c>
      <c r="AE70" s="2">
        <v>0</v>
      </c>
      <c r="AF70" s="2">
        <v>0</v>
      </c>
      <c r="AG70" s="2">
        <v>0</v>
      </c>
      <c r="AH70" s="2">
        <v>0</v>
      </c>
      <c r="AI70" s="2">
        <v>0</v>
      </c>
      <c r="AJ70" s="2">
        <v>0</v>
      </c>
      <c r="AK70" s="2">
        <v>0</v>
      </c>
      <c r="AL70" s="2">
        <v>0</v>
      </c>
      <c r="AM70" s="2">
        <v>0</v>
      </c>
      <c r="AN70" s="2">
        <v>0</v>
      </c>
      <c r="AO70" s="2">
        <v>0</v>
      </c>
      <c r="AP70" s="2">
        <v>0</v>
      </c>
      <c r="AS70" s="19" t="s">
        <v>406</v>
      </c>
      <c r="AT70" s="2">
        <v>602</v>
      </c>
      <c r="BZ70" s="2"/>
      <c r="CA70" s="19" t="s">
        <v>123</v>
      </c>
      <c r="CB70" s="2">
        <v>0</v>
      </c>
      <c r="CC70" s="2">
        <v>0</v>
      </c>
      <c r="CD70" s="2">
        <v>0</v>
      </c>
      <c r="CE70" s="2">
        <v>0</v>
      </c>
      <c r="CF70" s="2">
        <v>0</v>
      </c>
      <c r="CG70" s="2">
        <v>0</v>
      </c>
      <c r="CH70" s="2">
        <v>0</v>
      </c>
      <c r="CI70" s="2">
        <v>0</v>
      </c>
      <c r="CJ70" s="2">
        <v>0</v>
      </c>
      <c r="CK70" s="2">
        <v>0</v>
      </c>
      <c r="CL70" s="2">
        <v>0</v>
      </c>
      <c r="CM70" s="2">
        <v>0</v>
      </c>
      <c r="CN70" s="2">
        <v>0</v>
      </c>
      <c r="CP70" s="2"/>
      <c r="CR70" s="19" t="s">
        <v>406</v>
      </c>
      <c r="CS70" s="2">
        <v>105</v>
      </c>
    </row>
    <row r="71" spans="29:97" x14ac:dyDescent="0.25">
      <c r="AC71" s="19" t="s">
        <v>124</v>
      </c>
      <c r="AD71" s="2">
        <v>68</v>
      </c>
      <c r="AE71" s="2">
        <v>0</v>
      </c>
      <c r="AF71" s="2">
        <v>0</v>
      </c>
      <c r="AG71" s="2">
        <v>0</v>
      </c>
      <c r="AH71" s="2">
        <v>0</v>
      </c>
      <c r="AI71" s="2">
        <v>0</v>
      </c>
      <c r="AJ71" s="2">
        <v>12</v>
      </c>
      <c r="AK71" s="2">
        <v>0</v>
      </c>
      <c r="AL71" s="2">
        <v>0</v>
      </c>
      <c r="AM71" s="2">
        <v>0</v>
      </c>
      <c r="AN71" s="2">
        <v>0</v>
      </c>
      <c r="AO71" s="2">
        <v>0</v>
      </c>
      <c r="AP71" s="2">
        <v>12</v>
      </c>
      <c r="AS71" s="19" t="s">
        <v>407</v>
      </c>
      <c r="AT71" s="2">
        <v>655</v>
      </c>
      <c r="BZ71" s="2"/>
      <c r="CA71" s="19" t="s">
        <v>124</v>
      </c>
      <c r="CB71" s="2">
        <v>1</v>
      </c>
      <c r="CC71" s="2">
        <v>0</v>
      </c>
      <c r="CD71" s="2">
        <v>0</v>
      </c>
      <c r="CE71" s="2">
        <v>0</v>
      </c>
      <c r="CF71" s="2">
        <v>3</v>
      </c>
      <c r="CG71" s="2">
        <v>0</v>
      </c>
      <c r="CH71" s="2">
        <v>0</v>
      </c>
      <c r="CI71" s="2">
        <v>0</v>
      </c>
      <c r="CJ71" s="2">
        <v>0</v>
      </c>
      <c r="CK71" s="2">
        <v>0</v>
      </c>
      <c r="CL71" s="2">
        <v>0</v>
      </c>
      <c r="CM71" s="2">
        <v>0</v>
      </c>
      <c r="CN71" s="2">
        <v>0</v>
      </c>
      <c r="CP71" s="2"/>
      <c r="CR71" s="19" t="s">
        <v>407</v>
      </c>
      <c r="CS71" s="2">
        <v>141</v>
      </c>
    </row>
    <row r="72" spans="29:97" x14ac:dyDescent="0.25">
      <c r="AC72" s="19" t="s">
        <v>125</v>
      </c>
      <c r="AD72" s="2">
        <v>0</v>
      </c>
      <c r="AE72" s="2">
        <v>0</v>
      </c>
      <c r="AF72" s="2">
        <v>0</v>
      </c>
      <c r="AG72" s="2">
        <v>0</v>
      </c>
      <c r="AH72" s="2">
        <v>0</v>
      </c>
      <c r="AI72" s="2">
        <v>0</v>
      </c>
      <c r="AJ72" s="2">
        <v>0</v>
      </c>
      <c r="AK72" s="2">
        <v>0</v>
      </c>
      <c r="AL72" s="2">
        <v>0</v>
      </c>
      <c r="AM72" s="2">
        <v>0</v>
      </c>
      <c r="AN72" s="2">
        <v>0</v>
      </c>
      <c r="AO72" s="2">
        <v>0</v>
      </c>
      <c r="AP72" s="2">
        <v>0</v>
      </c>
      <c r="AS72" s="19" t="s">
        <v>408</v>
      </c>
      <c r="AT72" s="2">
        <v>676</v>
      </c>
      <c r="BZ72" s="2"/>
      <c r="CA72" s="19" t="s">
        <v>125</v>
      </c>
      <c r="CB72" s="2">
        <v>0</v>
      </c>
      <c r="CC72" s="2">
        <v>0</v>
      </c>
      <c r="CD72" s="2">
        <v>0</v>
      </c>
      <c r="CE72" s="2">
        <v>0</v>
      </c>
      <c r="CF72" s="2">
        <v>0</v>
      </c>
      <c r="CG72" s="2">
        <v>0</v>
      </c>
      <c r="CH72" s="2">
        <v>0</v>
      </c>
      <c r="CI72" s="2">
        <v>0</v>
      </c>
      <c r="CJ72" s="2">
        <v>0</v>
      </c>
      <c r="CK72" s="2">
        <v>0</v>
      </c>
      <c r="CL72" s="2">
        <v>0</v>
      </c>
      <c r="CM72" s="2">
        <v>0</v>
      </c>
      <c r="CN72" s="2">
        <v>0</v>
      </c>
      <c r="CP72" s="2"/>
      <c r="CR72" s="19" t="s">
        <v>408</v>
      </c>
      <c r="CS72" s="2">
        <v>147</v>
      </c>
    </row>
    <row r="73" spans="29:97" x14ac:dyDescent="0.25">
      <c r="AC73" s="19" t="s">
        <v>126</v>
      </c>
      <c r="AD73" s="2">
        <v>0</v>
      </c>
      <c r="AE73" s="2">
        <v>0</v>
      </c>
      <c r="AF73" s="2">
        <v>0</v>
      </c>
      <c r="AG73" s="2">
        <v>0</v>
      </c>
      <c r="AH73" s="2">
        <v>0</v>
      </c>
      <c r="AI73" s="2">
        <v>0</v>
      </c>
      <c r="AJ73" s="2">
        <v>0</v>
      </c>
      <c r="AK73" s="2">
        <v>0</v>
      </c>
      <c r="AL73" s="2">
        <v>0</v>
      </c>
      <c r="AM73" s="2">
        <v>0</v>
      </c>
      <c r="AN73" s="2">
        <v>0</v>
      </c>
      <c r="AO73" s="2">
        <v>0</v>
      </c>
      <c r="AP73" s="2">
        <v>0</v>
      </c>
      <c r="AS73" s="19" t="s">
        <v>409</v>
      </c>
      <c r="AT73" s="2">
        <v>621</v>
      </c>
      <c r="BZ73" s="2"/>
      <c r="CA73" s="19" t="s">
        <v>126</v>
      </c>
      <c r="CB73" s="2">
        <v>0</v>
      </c>
      <c r="CC73" s="2">
        <v>0</v>
      </c>
      <c r="CD73" s="2">
        <v>0</v>
      </c>
      <c r="CE73" s="2">
        <v>0</v>
      </c>
      <c r="CF73" s="2">
        <v>0</v>
      </c>
      <c r="CG73" s="2">
        <v>0</v>
      </c>
      <c r="CH73" s="2">
        <v>0</v>
      </c>
      <c r="CI73" s="2">
        <v>0</v>
      </c>
      <c r="CJ73" s="2">
        <v>0</v>
      </c>
      <c r="CK73" s="2">
        <v>0</v>
      </c>
      <c r="CL73" s="2">
        <v>0</v>
      </c>
      <c r="CM73" s="2">
        <v>0</v>
      </c>
      <c r="CN73" s="2">
        <v>0</v>
      </c>
      <c r="CP73" s="2"/>
      <c r="CR73" s="19" t="s">
        <v>409</v>
      </c>
      <c r="CS73" s="2">
        <v>159</v>
      </c>
    </row>
    <row r="74" spans="29:97" x14ac:dyDescent="0.25">
      <c r="AC74" s="19" t="s">
        <v>127</v>
      </c>
      <c r="AD74" s="2">
        <v>0</v>
      </c>
      <c r="AE74" s="2">
        <v>0</v>
      </c>
      <c r="AF74" s="2">
        <v>104</v>
      </c>
      <c r="AG74" s="2">
        <v>1</v>
      </c>
      <c r="AH74" s="2">
        <v>52</v>
      </c>
      <c r="AI74" s="2">
        <v>0</v>
      </c>
      <c r="AJ74" s="2">
        <v>0</v>
      </c>
      <c r="AK74" s="2">
        <v>0</v>
      </c>
      <c r="AL74" s="2">
        <v>0</v>
      </c>
      <c r="AM74" s="2">
        <v>0</v>
      </c>
      <c r="AN74" s="2">
        <v>0</v>
      </c>
      <c r="AO74" s="2">
        <v>0</v>
      </c>
      <c r="AP74" s="2">
        <v>0</v>
      </c>
      <c r="AS74" s="19" t="s">
        <v>410</v>
      </c>
      <c r="AT74" s="2">
        <v>709</v>
      </c>
      <c r="BZ74" s="2"/>
      <c r="CA74" s="19" t="s">
        <v>127</v>
      </c>
      <c r="CB74" s="2">
        <v>0</v>
      </c>
      <c r="CC74" s="2">
        <v>0</v>
      </c>
      <c r="CD74" s="2">
        <v>0</v>
      </c>
      <c r="CE74" s="2">
        <v>0</v>
      </c>
      <c r="CF74" s="2">
        <v>0</v>
      </c>
      <c r="CG74" s="2">
        <v>0</v>
      </c>
      <c r="CH74" s="2">
        <v>59</v>
      </c>
      <c r="CI74" s="2">
        <v>1</v>
      </c>
      <c r="CJ74" s="2">
        <v>12</v>
      </c>
      <c r="CK74" s="2">
        <v>0</v>
      </c>
      <c r="CL74" s="2">
        <v>0</v>
      </c>
      <c r="CM74" s="2">
        <v>0</v>
      </c>
      <c r="CN74" s="2">
        <v>0</v>
      </c>
      <c r="CP74" s="2"/>
      <c r="CR74" s="19" t="s">
        <v>410</v>
      </c>
      <c r="CS74" s="2">
        <v>166</v>
      </c>
    </row>
    <row r="75" spans="29:97" x14ac:dyDescent="0.25">
      <c r="AC75" s="19" t="s">
        <v>128</v>
      </c>
      <c r="AD75" s="2">
        <v>0</v>
      </c>
      <c r="AE75" s="2">
        <v>0</v>
      </c>
      <c r="AF75" s="2">
        <v>0</v>
      </c>
      <c r="AG75" s="2">
        <v>0</v>
      </c>
      <c r="AH75" s="2">
        <v>0</v>
      </c>
      <c r="AI75" s="2">
        <v>0</v>
      </c>
      <c r="AJ75" s="2">
        <v>0</v>
      </c>
      <c r="AK75" s="2">
        <v>0</v>
      </c>
      <c r="AL75" s="2">
        <v>0</v>
      </c>
      <c r="AM75" s="2">
        <v>0</v>
      </c>
      <c r="AN75" s="2">
        <v>0</v>
      </c>
      <c r="AO75" s="2">
        <v>0</v>
      </c>
      <c r="AP75" s="2">
        <v>0</v>
      </c>
      <c r="AS75" s="19" t="s">
        <v>411</v>
      </c>
      <c r="AT75" s="2">
        <v>660</v>
      </c>
      <c r="BZ75" s="2"/>
      <c r="CA75" s="19" t="s">
        <v>128</v>
      </c>
      <c r="CB75" s="2">
        <v>0</v>
      </c>
      <c r="CC75" s="2">
        <v>0</v>
      </c>
      <c r="CD75" s="2">
        <v>0</v>
      </c>
      <c r="CE75" s="2">
        <v>0</v>
      </c>
      <c r="CF75" s="2">
        <v>0</v>
      </c>
      <c r="CG75" s="2">
        <v>0</v>
      </c>
      <c r="CH75" s="2">
        <v>0</v>
      </c>
      <c r="CI75" s="2">
        <v>0</v>
      </c>
      <c r="CJ75" s="2">
        <v>0</v>
      </c>
      <c r="CK75" s="2">
        <v>0</v>
      </c>
      <c r="CL75" s="2">
        <v>0</v>
      </c>
      <c r="CM75" s="2">
        <v>0</v>
      </c>
      <c r="CN75" s="2">
        <v>0</v>
      </c>
      <c r="CP75" s="2"/>
      <c r="CR75" s="19" t="s">
        <v>411</v>
      </c>
      <c r="CS75" s="2">
        <v>138</v>
      </c>
    </row>
    <row r="76" spans="29:97" x14ac:dyDescent="0.25">
      <c r="AC76" s="19" t="s">
        <v>129</v>
      </c>
      <c r="AD76" s="2">
        <v>0</v>
      </c>
      <c r="AE76" s="2">
        <v>9</v>
      </c>
      <c r="AF76" s="2">
        <v>1</v>
      </c>
      <c r="AG76" s="2">
        <v>2</v>
      </c>
      <c r="AH76" s="2">
        <v>0</v>
      </c>
      <c r="AI76" s="2">
        <v>0</v>
      </c>
      <c r="AJ76" s="2">
        <v>0</v>
      </c>
      <c r="AK76" s="2">
        <v>0</v>
      </c>
      <c r="AL76" s="2">
        <v>0</v>
      </c>
      <c r="AM76" s="2">
        <v>0</v>
      </c>
      <c r="AN76" s="2">
        <v>0</v>
      </c>
      <c r="AO76" s="2">
        <v>0</v>
      </c>
      <c r="AP76" s="2">
        <v>20</v>
      </c>
      <c r="AS76" s="19" t="s">
        <v>414</v>
      </c>
      <c r="AT76" s="2">
        <v>640</v>
      </c>
      <c r="BZ76" s="2"/>
      <c r="CA76" s="19" t="s">
        <v>129</v>
      </c>
      <c r="CB76" s="2">
        <v>0</v>
      </c>
      <c r="CC76" s="2">
        <v>0</v>
      </c>
      <c r="CD76" s="2">
        <v>0</v>
      </c>
      <c r="CE76" s="2">
        <v>0</v>
      </c>
      <c r="CF76" s="2">
        <v>20</v>
      </c>
      <c r="CG76" s="2">
        <v>9</v>
      </c>
      <c r="CH76" s="2">
        <v>1</v>
      </c>
      <c r="CI76" s="2">
        <v>2</v>
      </c>
      <c r="CJ76" s="2">
        <v>0</v>
      </c>
      <c r="CK76" s="2">
        <v>0</v>
      </c>
      <c r="CL76" s="2">
        <v>0</v>
      </c>
      <c r="CM76" s="2">
        <v>0</v>
      </c>
      <c r="CN76" s="2">
        <v>0</v>
      </c>
      <c r="CP76" s="2"/>
      <c r="CR76" s="19" t="s">
        <v>414</v>
      </c>
      <c r="CS76" s="2">
        <v>120</v>
      </c>
    </row>
    <row r="77" spans="29:97" x14ac:dyDescent="0.25">
      <c r="AC77" s="19" t="s">
        <v>130</v>
      </c>
      <c r="AD77" s="2">
        <v>784</v>
      </c>
      <c r="AE77" s="2">
        <v>356</v>
      </c>
      <c r="AF77" s="2">
        <v>260</v>
      </c>
      <c r="AG77" s="2">
        <v>12</v>
      </c>
      <c r="AH77" s="2">
        <v>18</v>
      </c>
      <c r="AI77" s="2">
        <v>0</v>
      </c>
      <c r="AJ77" s="2">
        <v>0</v>
      </c>
      <c r="AK77" s="2">
        <v>18</v>
      </c>
      <c r="AL77" s="2">
        <v>299</v>
      </c>
      <c r="AM77" s="2">
        <v>287</v>
      </c>
      <c r="AN77" s="2">
        <v>154</v>
      </c>
      <c r="AO77" s="2">
        <v>2</v>
      </c>
      <c r="AP77" s="2">
        <v>198</v>
      </c>
      <c r="AS77" s="19" t="s">
        <v>415</v>
      </c>
      <c r="AT77" s="2">
        <v>614</v>
      </c>
      <c r="BZ77" s="2"/>
      <c r="CA77" s="19" t="s">
        <v>130</v>
      </c>
      <c r="CB77" s="2">
        <v>126</v>
      </c>
      <c r="CC77" s="2">
        <v>18</v>
      </c>
      <c r="CD77" s="2">
        <v>39</v>
      </c>
      <c r="CE77" s="2">
        <v>2</v>
      </c>
      <c r="CF77" s="2">
        <v>37</v>
      </c>
      <c r="CG77" s="2">
        <v>45</v>
      </c>
      <c r="CH77" s="2">
        <v>49</v>
      </c>
      <c r="CI77" s="2">
        <v>2</v>
      </c>
      <c r="CJ77" s="2">
        <v>1</v>
      </c>
      <c r="CK77" s="2">
        <v>0</v>
      </c>
      <c r="CL77" s="2">
        <v>0</v>
      </c>
      <c r="CM77" s="2">
        <v>0</v>
      </c>
      <c r="CN77" s="2">
        <v>26</v>
      </c>
      <c r="CP77" s="2"/>
      <c r="CR77" s="19" t="s">
        <v>415</v>
      </c>
      <c r="CS77" s="2">
        <v>117</v>
      </c>
    </row>
    <row r="78" spans="29:97" x14ac:dyDescent="0.25">
      <c r="AC78" s="19" t="s">
        <v>131</v>
      </c>
      <c r="AD78" s="2">
        <v>0</v>
      </c>
      <c r="AE78" s="2">
        <v>0</v>
      </c>
      <c r="AF78" s="2">
        <v>0</v>
      </c>
      <c r="AG78" s="2">
        <v>0</v>
      </c>
      <c r="AH78" s="2">
        <v>0</v>
      </c>
      <c r="AI78" s="2">
        <v>0</v>
      </c>
      <c r="AJ78" s="2">
        <v>0</v>
      </c>
      <c r="AK78" s="2">
        <v>0</v>
      </c>
      <c r="AL78" s="2">
        <v>0</v>
      </c>
      <c r="AM78" s="2">
        <v>0</v>
      </c>
      <c r="AN78" s="2">
        <v>0</v>
      </c>
      <c r="AO78" s="2">
        <v>0</v>
      </c>
      <c r="AP78" s="2">
        <v>0</v>
      </c>
      <c r="AS78" s="19" t="s">
        <v>416</v>
      </c>
      <c r="AT78" s="2">
        <v>598</v>
      </c>
      <c r="BZ78" s="2"/>
      <c r="CA78" s="19" t="s">
        <v>131</v>
      </c>
      <c r="CB78" s="2">
        <v>0</v>
      </c>
      <c r="CC78" s="2">
        <v>0</v>
      </c>
      <c r="CD78" s="2">
        <v>0</v>
      </c>
      <c r="CE78" s="2">
        <v>0</v>
      </c>
      <c r="CF78" s="2">
        <v>0</v>
      </c>
      <c r="CG78" s="2">
        <v>0</v>
      </c>
      <c r="CH78" s="2">
        <v>0</v>
      </c>
      <c r="CI78" s="2">
        <v>0</v>
      </c>
      <c r="CJ78" s="2">
        <v>0</v>
      </c>
      <c r="CK78" s="2">
        <v>0</v>
      </c>
      <c r="CL78" s="2">
        <v>0</v>
      </c>
      <c r="CM78" s="2">
        <v>0</v>
      </c>
      <c r="CN78" s="2">
        <v>0</v>
      </c>
      <c r="CP78" s="2"/>
      <c r="CR78" s="19" t="s">
        <v>416</v>
      </c>
      <c r="CS78" s="2">
        <v>132</v>
      </c>
    </row>
    <row r="79" spans="29:97" x14ac:dyDescent="0.25">
      <c r="AC79" s="19" t="s">
        <v>132</v>
      </c>
      <c r="AD79" s="2">
        <v>0</v>
      </c>
      <c r="AE79" s="2">
        <v>0</v>
      </c>
      <c r="AF79" s="2">
        <v>0</v>
      </c>
      <c r="AG79" s="2">
        <v>0</v>
      </c>
      <c r="AH79" s="2">
        <v>0</v>
      </c>
      <c r="AI79" s="2">
        <v>0</v>
      </c>
      <c r="AJ79" s="2">
        <v>0</v>
      </c>
      <c r="AK79" s="2">
        <v>0</v>
      </c>
      <c r="AL79" s="2">
        <v>0</v>
      </c>
      <c r="AM79" s="2">
        <v>0</v>
      </c>
      <c r="AN79" s="2">
        <v>0</v>
      </c>
      <c r="AO79" s="2">
        <v>0</v>
      </c>
      <c r="AP79" s="2">
        <v>0</v>
      </c>
      <c r="AS79" s="19" t="s">
        <v>417</v>
      </c>
      <c r="AT79" s="2">
        <v>581</v>
      </c>
      <c r="BZ79" s="2"/>
      <c r="CA79" s="19" t="s">
        <v>132</v>
      </c>
      <c r="CB79" s="2">
        <v>0</v>
      </c>
      <c r="CC79" s="2">
        <v>0</v>
      </c>
      <c r="CD79" s="2">
        <v>0</v>
      </c>
      <c r="CE79" s="2">
        <v>0</v>
      </c>
      <c r="CF79" s="2">
        <v>0</v>
      </c>
      <c r="CG79" s="2">
        <v>0</v>
      </c>
      <c r="CH79" s="2">
        <v>0</v>
      </c>
      <c r="CI79" s="2">
        <v>0</v>
      </c>
      <c r="CJ79" s="2">
        <v>0</v>
      </c>
      <c r="CK79" s="2">
        <v>0</v>
      </c>
      <c r="CL79" s="2">
        <v>0</v>
      </c>
      <c r="CM79" s="2">
        <v>0</v>
      </c>
      <c r="CN79" s="2">
        <v>0</v>
      </c>
      <c r="CP79" s="2"/>
      <c r="CR79" s="19" t="s">
        <v>417</v>
      </c>
      <c r="CS79" s="2">
        <v>133</v>
      </c>
    </row>
    <row r="80" spans="29:97" x14ac:dyDescent="0.25">
      <c r="AC80" s="19" t="s">
        <v>133</v>
      </c>
      <c r="AD80" s="2">
        <v>95</v>
      </c>
      <c r="AE80" s="2">
        <v>355</v>
      </c>
      <c r="AF80" s="2">
        <v>123</v>
      </c>
      <c r="AG80" s="2">
        <v>0</v>
      </c>
      <c r="AH80" s="2">
        <v>0</v>
      </c>
      <c r="AI80" s="2">
        <v>0</v>
      </c>
      <c r="AJ80" s="2">
        <v>0</v>
      </c>
      <c r="AK80" s="2">
        <v>178</v>
      </c>
      <c r="AL80" s="2">
        <v>238</v>
      </c>
      <c r="AM80" s="2">
        <v>22</v>
      </c>
      <c r="AN80" s="2">
        <v>238</v>
      </c>
      <c r="AO80" s="2">
        <v>238</v>
      </c>
      <c r="AP80" s="2">
        <v>108</v>
      </c>
      <c r="AS80" s="19" t="s">
        <v>418</v>
      </c>
      <c r="AT80" s="2">
        <v>533</v>
      </c>
      <c r="BZ80" s="2"/>
      <c r="CA80" s="19" t="s">
        <v>133</v>
      </c>
      <c r="CB80" s="2">
        <v>9</v>
      </c>
      <c r="CC80" s="2">
        <v>12</v>
      </c>
      <c r="CD80" s="2">
        <v>72</v>
      </c>
      <c r="CE80" s="2">
        <v>108</v>
      </c>
      <c r="CF80" s="2">
        <v>62</v>
      </c>
      <c r="CG80" s="2">
        <v>71</v>
      </c>
      <c r="CH80" s="2">
        <v>16</v>
      </c>
      <c r="CI80" s="2">
        <v>0</v>
      </c>
      <c r="CJ80" s="2">
        <v>0</v>
      </c>
      <c r="CK80" s="2">
        <v>0</v>
      </c>
      <c r="CL80" s="2">
        <v>0</v>
      </c>
      <c r="CM80" s="2">
        <v>6</v>
      </c>
      <c r="CN80" s="2">
        <v>50</v>
      </c>
      <c r="CP80" s="2"/>
      <c r="CR80" s="19" t="s">
        <v>418</v>
      </c>
      <c r="CS80" s="2">
        <v>122</v>
      </c>
    </row>
    <row r="81" spans="29:97" x14ac:dyDescent="0.25">
      <c r="AC81" s="19" t="s">
        <v>134</v>
      </c>
      <c r="AD81" s="2">
        <v>31</v>
      </c>
      <c r="AE81" s="2">
        <v>0</v>
      </c>
      <c r="AF81" s="2">
        <v>0</v>
      </c>
      <c r="AG81" s="2">
        <v>0</v>
      </c>
      <c r="AH81" s="2">
        <v>0</v>
      </c>
      <c r="AI81" s="2">
        <v>0</v>
      </c>
      <c r="AJ81" s="2">
        <v>0</v>
      </c>
      <c r="AK81" s="2">
        <v>0</v>
      </c>
      <c r="AL81" s="2">
        <v>0</v>
      </c>
      <c r="AM81" s="2">
        <v>0</v>
      </c>
      <c r="AN81" s="2">
        <v>0</v>
      </c>
      <c r="AO81" s="2">
        <v>0</v>
      </c>
      <c r="AP81" s="2">
        <v>0</v>
      </c>
      <c r="AS81" s="19" t="s">
        <v>419</v>
      </c>
      <c r="AT81" s="2">
        <v>516</v>
      </c>
      <c r="BZ81" s="2"/>
      <c r="CA81" s="19" t="s">
        <v>134</v>
      </c>
      <c r="CB81" s="2">
        <v>2</v>
      </c>
      <c r="CC81" s="2">
        <v>0</v>
      </c>
      <c r="CD81" s="2">
        <v>0</v>
      </c>
      <c r="CE81" s="2">
        <v>0</v>
      </c>
      <c r="CF81" s="2">
        <v>0</v>
      </c>
      <c r="CG81" s="2">
        <v>0</v>
      </c>
      <c r="CH81" s="2">
        <v>0</v>
      </c>
      <c r="CI81" s="2">
        <v>0</v>
      </c>
      <c r="CJ81" s="2">
        <v>0</v>
      </c>
      <c r="CK81" s="2">
        <v>0</v>
      </c>
      <c r="CL81" s="2">
        <v>0</v>
      </c>
      <c r="CM81" s="2">
        <v>0</v>
      </c>
      <c r="CN81" s="2">
        <v>0</v>
      </c>
      <c r="CP81" s="2"/>
      <c r="CR81" s="19" t="s">
        <v>419</v>
      </c>
      <c r="CS81" s="2">
        <v>122</v>
      </c>
    </row>
    <row r="82" spans="29:97" x14ac:dyDescent="0.25">
      <c r="AC82" s="19" t="s">
        <v>135</v>
      </c>
      <c r="AD82" s="2">
        <v>79</v>
      </c>
      <c r="AE82" s="2">
        <v>90</v>
      </c>
      <c r="AF82" s="2">
        <v>81</v>
      </c>
      <c r="AG82" s="2">
        <v>89</v>
      </c>
      <c r="AH82" s="2">
        <v>38</v>
      </c>
      <c r="AI82" s="2">
        <v>625</v>
      </c>
      <c r="AJ82" s="2">
        <v>597</v>
      </c>
      <c r="AK82" s="2">
        <v>863</v>
      </c>
      <c r="AL82" s="2">
        <v>247</v>
      </c>
      <c r="AM82" s="2">
        <v>332</v>
      </c>
      <c r="AN82" s="2">
        <v>76</v>
      </c>
      <c r="AO82" s="2">
        <v>96</v>
      </c>
      <c r="AP82" s="2">
        <v>180</v>
      </c>
      <c r="AS82" s="19" t="s">
        <v>420</v>
      </c>
      <c r="AT82" s="2">
        <v>568</v>
      </c>
      <c r="BZ82" s="2"/>
      <c r="CA82" s="19" t="s">
        <v>135</v>
      </c>
      <c r="CB82" s="2">
        <v>0</v>
      </c>
      <c r="CC82" s="2">
        <v>107</v>
      </c>
      <c r="CD82" s="2">
        <v>31</v>
      </c>
      <c r="CE82" s="2">
        <v>22</v>
      </c>
      <c r="CF82" s="2">
        <v>51</v>
      </c>
      <c r="CG82" s="2">
        <v>0</v>
      </c>
      <c r="CH82" s="2">
        <v>0</v>
      </c>
      <c r="CI82" s="2">
        <v>0</v>
      </c>
      <c r="CJ82" s="2">
        <v>0</v>
      </c>
      <c r="CK82" s="2">
        <v>115</v>
      </c>
      <c r="CL82" s="2">
        <v>102</v>
      </c>
      <c r="CM82" s="2">
        <v>312</v>
      </c>
      <c r="CN82" s="2">
        <v>95</v>
      </c>
      <c r="CP82" s="2"/>
      <c r="CR82" s="19" t="s">
        <v>420</v>
      </c>
      <c r="CS82" s="2">
        <v>133</v>
      </c>
    </row>
    <row r="83" spans="29:97" x14ac:dyDescent="0.25">
      <c r="AC83" s="19" t="s">
        <v>136</v>
      </c>
      <c r="AD83" s="2">
        <v>0</v>
      </c>
      <c r="AE83" s="2">
        <v>2</v>
      </c>
      <c r="AF83" s="2">
        <v>14</v>
      </c>
      <c r="AG83" s="2">
        <v>0</v>
      </c>
      <c r="AH83" s="2">
        <v>114</v>
      </c>
      <c r="AI83" s="2">
        <v>59</v>
      </c>
      <c r="AJ83" s="2">
        <v>0</v>
      </c>
      <c r="AK83" s="2">
        <v>6</v>
      </c>
      <c r="AL83" s="2">
        <v>0</v>
      </c>
      <c r="AM83" s="2">
        <v>0</v>
      </c>
      <c r="AN83" s="2">
        <v>0</v>
      </c>
      <c r="AO83" s="2">
        <v>0</v>
      </c>
      <c r="AP83" s="2">
        <v>0</v>
      </c>
      <c r="AS83" s="19" t="s">
        <v>423</v>
      </c>
      <c r="AT83" s="2">
        <v>539</v>
      </c>
      <c r="BZ83" s="2"/>
      <c r="CA83" s="19" t="s">
        <v>136</v>
      </c>
      <c r="CB83" s="2">
        <v>0</v>
      </c>
      <c r="CC83" s="2">
        <v>0</v>
      </c>
      <c r="CD83" s="2">
        <v>0</v>
      </c>
      <c r="CE83" s="2">
        <v>0</v>
      </c>
      <c r="CF83" s="2">
        <v>0</v>
      </c>
      <c r="CG83" s="2">
        <v>1</v>
      </c>
      <c r="CH83" s="2">
        <v>1</v>
      </c>
      <c r="CI83" s="2">
        <v>0</v>
      </c>
      <c r="CJ83" s="2">
        <v>22</v>
      </c>
      <c r="CK83" s="2">
        <v>12</v>
      </c>
      <c r="CL83" s="2">
        <v>0</v>
      </c>
      <c r="CM83" s="2">
        <v>0</v>
      </c>
      <c r="CN83" s="2">
        <v>0</v>
      </c>
      <c r="CP83" s="2"/>
      <c r="CR83" s="19" t="s">
        <v>423</v>
      </c>
      <c r="CS83" s="2">
        <v>135</v>
      </c>
    </row>
    <row r="84" spans="29:97" x14ac:dyDescent="0.25">
      <c r="AC84" s="19" t="s">
        <v>137</v>
      </c>
      <c r="AD84" s="2">
        <v>0</v>
      </c>
      <c r="AE84" s="2">
        <v>0</v>
      </c>
      <c r="AF84" s="2">
        <v>0</v>
      </c>
      <c r="AG84" s="2">
        <v>0</v>
      </c>
      <c r="AH84" s="2">
        <v>0</v>
      </c>
      <c r="AI84" s="2">
        <v>0</v>
      </c>
      <c r="AJ84" s="2">
        <v>0</v>
      </c>
      <c r="AK84" s="2">
        <v>0</v>
      </c>
      <c r="AL84" s="2">
        <v>0</v>
      </c>
      <c r="AM84" s="2">
        <v>0</v>
      </c>
      <c r="AN84" s="2">
        <v>0</v>
      </c>
      <c r="AO84" s="2">
        <v>0</v>
      </c>
      <c r="AP84" s="2">
        <v>0</v>
      </c>
      <c r="AS84" s="19" t="s">
        <v>424</v>
      </c>
      <c r="AT84" s="2">
        <v>452</v>
      </c>
      <c r="BZ84" s="2"/>
      <c r="CA84" s="19" t="s">
        <v>137</v>
      </c>
      <c r="CB84" s="2">
        <v>0</v>
      </c>
      <c r="CC84" s="2">
        <v>0</v>
      </c>
      <c r="CD84" s="2">
        <v>0</v>
      </c>
      <c r="CE84" s="2">
        <v>0</v>
      </c>
      <c r="CF84" s="2">
        <v>0</v>
      </c>
      <c r="CG84" s="2">
        <v>0</v>
      </c>
      <c r="CH84" s="2">
        <v>0</v>
      </c>
      <c r="CI84" s="2">
        <v>0</v>
      </c>
      <c r="CJ84" s="2">
        <v>0</v>
      </c>
      <c r="CK84" s="2">
        <v>0</v>
      </c>
      <c r="CL84" s="2">
        <v>0</v>
      </c>
      <c r="CM84" s="2">
        <v>0</v>
      </c>
      <c r="CN84" s="2">
        <v>0</v>
      </c>
      <c r="CP84" s="2"/>
      <c r="CR84" s="19" t="s">
        <v>424</v>
      </c>
      <c r="CS84" s="2">
        <v>101</v>
      </c>
    </row>
    <row r="85" spans="29:97" x14ac:dyDescent="0.25">
      <c r="AC85" s="19" t="s">
        <v>138</v>
      </c>
      <c r="AD85" s="2">
        <v>0</v>
      </c>
      <c r="AE85" s="2">
        <v>8</v>
      </c>
      <c r="AF85" s="2">
        <v>32</v>
      </c>
      <c r="AG85" s="2">
        <v>0</v>
      </c>
      <c r="AH85" s="2">
        <v>0</v>
      </c>
      <c r="AI85" s="2">
        <v>0</v>
      </c>
      <c r="AJ85" s="2">
        <v>0</v>
      </c>
      <c r="AK85" s="2">
        <v>16</v>
      </c>
      <c r="AL85" s="2">
        <v>12</v>
      </c>
      <c r="AM85" s="2">
        <v>0</v>
      </c>
      <c r="AN85" s="2">
        <v>26</v>
      </c>
      <c r="AO85" s="2">
        <v>22</v>
      </c>
      <c r="AP85" s="2">
        <v>0</v>
      </c>
      <c r="AS85" s="19" t="s">
        <v>425</v>
      </c>
      <c r="AT85" s="2">
        <v>461</v>
      </c>
      <c r="BZ85" s="2"/>
      <c r="CA85" s="19" t="s">
        <v>138</v>
      </c>
      <c r="CB85" s="2">
        <v>0</v>
      </c>
      <c r="CC85" s="2">
        <v>0</v>
      </c>
      <c r="CD85" s="2">
        <v>22</v>
      </c>
      <c r="CE85" s="2">
        <v>21</v>
      </c>
      <c r="CF85" s="2">
        <v>0</v>
      </c>
      <c r="CG85" s="2">
        <v>0</v>
      </c>
      <c r="CH85" s="2">
        <v>3</v>
      </c>
      <c r="CI85" s="2">
        <v>0</v>
      </c>
      <c r="CJ85" s="2">
        <v>0</v>
      </c>
      <c r="CK85" s="2">
        <v>0</v>
      </c>
      <c r="CL85" s="2">
        <v>0</v>
      </c>
      <c r="CM85" s="2">
        <v>1</v>
      </c>
      <c r="CN85" s="2">
        <v>0</v>
      </c>
      <c r="CP85" s="2"/>
      <c r="CR85" s="19" t="s">
        <v>425</v>
      </c>
      <c r="CS85" s="2">
        <v>84</v>
      </c>
    </row>
    <row r="86" spans="29:97" x14ac:dyDescent="0.25">
      <c r="AC86" s="19" t="s">
        <v>291</v>
      </c>
      <c r="AD86" s="2">
        <v>0</v>
      </c>
      <c r="AE86" s="2">
        <v>0</v>
      </c>
      <c r="AF86" s="2">
        <v>6</v>
      </c>
      <c r="AG86" s="2">
        <v>0</v>
      </c>
      <c r="AH86" s="2">
        <v>0</v>
      </c>
      <c r="AI86" s="2">
        <v>0</v>
      </c>
      <c r="AJ86" s="2">
        <v>0</v>
      </c>
      <c r="AK86" s="2">
        <v>0</v>
      </c>
      <c r="AL86" s="2">
        <v>0</v>
      </c>
      <c r="AM86" s="2">
        <v>0</v>
      </c>
      <c r="AN86" s="2">
        <v>6</v>
      </c>
      <c r="AO86" s="2">
        <v>6</v>
      </c>
      <c r="AP86" s="2">
        <v>0</v>
      </c>
      <c r="AS86" s="19" t="s">
        <v>426</v>
      </c>
      <c r="AT86" s="2">
        <v>469</v>
      </c>
      <c r="BZ86" s="2"/>
      <c r="CA86" s="19" t="s">
        <v>291</v>
      </c>
      <c r="CB86" s="2">
        <v>0</v>
      </c>
      <c r="CC86" s="2">
        <v>0</v>
      </c>
      <c r="CD86" s="2">
        <v>2</v>
      </c>
      <c r="CE86" s="2">
        <v>2</v>
      </c>
      <c r="CF86" s="2">
        <v>0</v>
      </c>
      <c r="CG86" s="2">
        <v>0</v>
      </c>
      <c r="CH86" s="2">
        <v>0</v>
      </c>
      <c r="CI86" s="2">
        <v>0</v>
      </c>
      <c r="CJ86" s="2">
        <v>0</v>
      </c>
      <c r="CK86" s="2">
        <v>0</v>
      </c>
      <c r="CL86" s="2">
        <v>0</v>
      </c>
      <c r="CM86" s="2">
        <v>0</v>
      </c>
      <c r="CN86" s="2">
        <v>0</v>
      </c>
      <c r="CP86" s="2"/>
      <c r="CR86" s="19" t="s">
        <v>426</v>
      </c>
      <c r="CS86" s="2">
        <v>83</v>
      </c>
    </row>
    <row r="87" spans="29:97" x14ac:dyDescent="0.25">
      <c r="AC87" s="19" t="s">
        <v>139</v>
      </c>
      <c r="AD87" s="2">
        <v>5</v>
      </c>
      <c r="AE87" s="2">
        <v>33</v>
      </c>
      <c r="AF87" s="2">
        <v>0</v>
      </c>
      <c r="AG87" s="2">
        <v>211</v>
      </c>
      <c r="AH87" s="2">
        <v>294</v>
      </c>
      <c r="AI87" s="2">
        <v>106</v>
      </c>
      <c r="AJ87" s="2">
        <v>28</v>
      </c>
      <c r="AK87" s="2">
        <v>1</v>
      </c>
      <c r="AL87" s="2">
        <v>8</v>
      </c>
      <c r="AM87" s="2">
        <v>66</v>
      </c>
      <c r="AN87" s="2">
        <v>120</v>
      </c>
      <c r="AO87" s="2">
        <v>114</v>
      </c>
      <c r="AP87" s="2">
        <v>0</v>
      </c>
      <c r="AS87" s="19" t="s">
        <v>427</v>
      </c>
      <c r="AT87" s="2">
        <v>500</v>
      </c>
      <c r="BZ87" s="2"/>
      <c r="CA87" s="19" t="s">
        <v>139</v>
      </c>
      <c r="CB87" s="2">
        <v>0</v>
      </c>
      <c r="CC87" s="2">
        <v>16</v>
      </c>
      <c r="CD87" s="2">
        <v>2</v>
      </c>
      <c r="CE87" s="2">
        <v>13</v>
      </c>
      <c r="CF87" s="2">
        <v>0</v>
      </c>
      <c r="CG87" s="2">
        <v>7</v>
      </c>
      <c r="CH87" s="2">
        <v>0</v>
      </c>
      <c r="CI87" s="2">
        <v>42</v>
      </c>
      <c r="CJ87" s="2">
        <v>31</v>
      </c>
      <c r="CK87" s="2">
        <v>11</v>
      </c>
      <c r="CL87" s="2">
        <v>4</v>
      </c>
      <c r="CM87" s="2">
        <v>0</v>
      </c>
      <c r="CN87" s="2">
        <v>0</v>
      </c>
      <c r="CP87" s="2"/>
      <c r="CR87" s="19" t="s">
        <v>427</v>
      </c>
      <c r="CS87" s="2">
        <v>111</v>
      </c>
    </row>
    <row r="88" spans="29:97" x14ac:dyDescent="0.25">
      <c r="AC88" s="19" t="s">
        <v>140</v>
      </c>
      <c r="AD88" s="2">
        <v>0</v>
      </c>
      <c r="AE88" s="2">
        <v>0</v>
      </c>
      <c r="AF88" s="2">
        <v>0</v>
      </c>
      <c r="AG88" s="2">
        <v>0</v>
      </c>
      <c r="AH88" s="2">
        <v>0</v>
      </c>
      <c r="AI88" s="2">
        <v>0</v>
      </c>
      <c r="AJ88" s="2">
        <v>0</v>
      </c>
      <c r="AK88" s="2">
        <v>0</v>
      </c>
      <c r="AL88" s="2">
        <v>0</v>
      </c>
      <c r="AM88" s="2">
        <v>0</v>
      </c>
      <c r="AN88" s="2">
        <v>0</v>
      </c>
      <c r="AO88" s="2">
        <v>0</v>
      </c>
      <c r="AP88" s="2">
        <v>0</v>
      </c>
      <c r="AS88" s="19" t="s">
        <v>428</v>
      </c>
      <c r="AT88" s="2">
        <v>537</v>
      </c>
      <c r="BZ88" s="2"/>
      <c r="CA88" s="19" t="s">
        <v>140</v>
      </c>
      <c r="CB88" s="2">
        <v>0</v>
      </c>
      <c r="CC88" s="2">
        <v>0</v>
      </c>
      <c r="CD88" s="2">
        <v>0</v>
      </c>
      <c r="CE88" s="2">
        <v>0</v>
      </c>
      <c r="CF88" s="2">
        <v>0</v>
      </c>
      <c r="CG88" s="2">
        <v>0</v>
      </c>
      <c r="CH88" s="2">
        <v>0</v>
      </c>
      <c r="CI88" s="2">
        <v>0</v>
      </c>
      <c r="CJ88" s="2">
        <v>0</v>
      </c>
      <c r="CK88" s="2">
        <v>0</v>
      </c>
      <c r="CL88" s="2">
        <v>0</v>
      </c>
      <c r="CM88" s="2">
        <v>0</v>
      </c>
      <c r="CN88" s="2">
        <v>0</v>
      </c>
      <c r="CP88" s="2"/>
      <c r="CR88" s="19" t="s">
        <v>428</v>
      </c>
      <c r="CS88" s="2">
        <v>98</v>
      </c>
    </row>
    <row r="89" spans="29:97" x14ac:dyDescent="0.25">
      <c r="AC89" s="19" t="s">
        <v>141</v>
      </c>
      <c r="AD89" s="2">
        <v>244</v>
      </c>
      <c r="AE89" s="2">
        <v>302</v>
      </c>
      <c r="AF89" s="2">
        <v>198</v>
      </c>
      <c r="AG89" s="2">
        <v>89</v>
      </c>
      <c r="AH89" s="2">
        <v>26</v>
      </c>
      <c r="AI89" s="2">
        <v>16</v>
      </c>
      <c r="AJ89" s="2">
        <v>0</v>
      </c>
      <c r="AK89" s="2">
        <v>10</v>
      </c>
      <c r="AL89" s="2">
        <v>12</v>
      </c>
      <c r="AM89" s="2">
        <v>18</v>
      </c>
      <c r="AN89" s="2">
        <v>0</v>
      </c>
      <c r="AO89" s="2">
        <v>4</v>
      </c>
      <c r="AP89" s="2">
        <v>18</v>
      </c>
      <c r="AS89" s="19" t="s">
        <v>429</v>
      </c>
      <c r="AT89" s="2">
        <v>591</v>
      </c>
      <c r="BZ89" s="2"/>
      <c r="CA89" s="19" t="s">
        <v>141</v>
      </c>
      <c r="CB89" s="2">
        <v>45</v>
      </c>
      <c r="CC89" s="2">
        <v>1</v>
      </c>
      <c r="CD89" s="2">
        <v>0</v>
      </c>
      <c r="CE89" s="2">
        <v>1</v>
      </c>
      <c r="CF89" s="2">
        <v>0</v>
      </c>
      <c r="CG89" s="2">
        <v>21</v>
      </c>
      <c r="CH89" s="2">
        <v>24</v>
      </c>
      <c r="CI89" s="2">
        <v>9</v>
      </c>
      <c r="CJ89" s="2">
        <v>0</v>
      </c>
      <c r="CK89" s="2">
        <v>2</v>
      </c>
      <c r="CL89" s="2">
        <v>0</v>
      </c>
      <c r="CM89" s="2">
        <v>0</v>
      </c>
      <c r="CN89" s="2">
        <v>2</v>
      </c>
      <c r="CP89" s="2"/>
      <c r="CR89" s="19" t="s">
        <v>429</v>
      </c>
      <c r="CS89" s="2">
        <v>113</v>
      </c>
    </row>
    <row r="90" spans="29:97" x14ac:dyDescent="0.25">
      <c r="AC90" s="19" t="s">
        <v>142</v>
      </c>
      <c r="AD90" s="2">
        <v>0</v>
      </c>
      <c r="AE90" s="2">
        <v>0</v>
      </c>
      <c r="AF90" s="2">
        <v>0</v>
      </c>
      <c r="AG90" s="2">
        <v>0</v>
      </c>
      <c r="AH90" s="2">
        <v>0</v>
      </c>
      <c r="AI90" s="2">
        <v>0</v>
      </c>
      <c r="AJ90" s="2">
        <v>0</v>
      </c>
      <c r="AK90" s="2">
        <v>0</v>
      </c>
      <c r="AL90" s="2">
        <v>0</v>
      </c>
      <c r="AM90" s="2">
        <v>0</v>
      </c>
      <c r="AN90" s="2">
        <v>0</v>
      </c>
      <c r="AO90" s="2">
        <v>0</v>
      </c>
      <c r="AP90" s="2">
        <v>0</v>
      </c>
      <c r="AS90" s="19" t="s">
        <v>432</v>
      </c>
      <c r="AT90" s="2">
        <v>618</v>
      </c>
      <c r="BZ90" s="2"/>
      <c r="CA90" s="19" t="s">
        <v>142</v>
      </c>
      <c r="CB90" s="2">
        <v>0</v>
      </c>
      <c r="CC90" s="2">
        <v>0</v>
      </c>
      <c r="CD90" s="2">
        <v>0</v>
      </c>
      <c r="CE90" s="2">
        <v>0</v>
      </c>
      <c r="CF90" s="2">
        <v>0</v>
      </c>
      <c r="CG90" s="2">
        <v>0</v>
      </c>
      <c r="CH90" s="2">
        <v>0</v>
      </c>
      <c r="CI90" s="2">
        <v>0</v>
      </c>
      <c r="CJ90" s="2">
        <v>0</v>
      </c>
      <c r="CK90" s="2">
        <v>0</v>
      </c>
      <c r="CL90" s="2">
        <v>0</v>
      </c>
      <c r="CM90" s="2">
        <v>0</v>
      </c>
      <c r="CN90" s="2">
        <v>0</v>
      </c>
      <c r="CP90" s="2"/>
      <c r="CR90" s="19" t="s">
        <v>432</v>
      </c>
      <c r="CS90" s="2">
        <v>135</v>
      </c>
    </row>
    <row r="91" spans="29:97" x14ac:dyDescent="0.25">
      <c r="AC91" s="19" t="s">
        <v>143</v>
      </c>
      <c r="AD91" s="2">
        <v>0</v>
      </c>
      <c r="AE91" s="2">
        <v>0</v>
      </c>
      <c r="AF91" s="2">
        <v>0</v>
      </c>
      <c r="AG91" s="2">
        <v>0</v>
      </c>
      <c r="AH91" s="2">
        <v>0</v>
      </c>
      <c r="AI91" s="2">
        <v>0</v>
      </c>
      <c r="AJ91" s="2">
        <v>0</v>
      </c>
      <c r="AK91" s="2">
        <v>0</v>
      </c>
      <c r="AL91" s="2">
        <v>0</v>
      </c>
      <c r="AM91" s="2">
        <v>0</v>
      </c>
      <c r="AN91" s="2">
        <v>0</v>
      </c>
      <c r="AO91" s="2">
        <v>0</v>
      </c>
      <c r="AP91" s="2">
        <v>0</v>
      </c>
      <c r="AS91" s="19" t="s">
        <v>433</v>
      </c>
      <c r="AT91" s="2">
        <v>692</v>
      </c>
      <c r="BZ91" s="2"/>
      <c r="CA91" s="19" t="s">
        <v>143</v>
      </c>
      <c r="CB91" s="2">
        <v>0</v>
      </c>
      <c r="CC91" s="2">
        <v>0</v>
      </c>
      <c r="CD91" s="2">
        <v>0</v>
      </c>
      <c r="CE91" s="2">
        <v>0</v>
      </c>
      <c r="CF91" s="2">
        <v>0</v>
      </c>
      <c r="CG91" s="2">
        <v>0</v>
      </c>
      <c r="CH91" s="2">
        <v>0</v>
      </c>
      <c r="CI91" s="2">
        <v>0</v>
      </c>
      <c r="CJ91" s="2">
        <v>0</v>
      </c>
      <c r="CK91" s="2">
        <v>0</v>
      </c>
      <c r="CL91" s="2">
        <v>0</v>
      </c>
      <c r="CM91" s="2">
        <v>0</v>
      </c>
      <c r="CN91" s="2">
        <v>0</v>
      </c>
      <c r="CP91" s="2"/>
      <c r="CR91" s="19" t="s">
        <v>433</v>
      </c>
      <c r="CS91" s="2">
        <v>137</v>
      </c>
    </row>
    <row r="92" spans="29:97" x14ac:dyDescent="0.25">
      <c r="AC92" s="19" t="s">
        <v>144</v>
      </c>
      <c r="AD92" s="2">
        <v>86</v>
      </c>
      <c r="AE92" s="2">
        <v>89</v>
      </c>
      <c r="AF92" s="2">
        <v>118</v>
      </c>
      <c r="AG92" s="2">
        <v>70</v>
      </c>
      <c r="AH92" s="2">
        <v>35</v>
      </c>
      <c r="AI92" s="2">
        <v>88</v>
      </c>
      <c r="AJ92" s="2">
        <v>65</v>
      </c>
      <c r="AK92" s="2">
        <v>5</v>
      </c>
      <c r="AL92" s="2">
        <v>76</v>
      </c>
      <c r="AM92" s="2">
        <v>141</v>
      </c>
      <c r="AN92" s="2">
        <v>34</v>
      </c>
      <c r="AO92" s="2">
        <v>59</v>
      </c>
      <c r="AP92" s="2">
        <v>288</v>
      </c>
      <c r="AS92" s="19" t="s">
        <v>434</v>
      </c>
      <c r="AT92" s="2">
        <v>676</v>
      </c>
      <c r="BZ92" s="2"/>
      <c r="CA92" s="19" t="s">
        <v>144</v>
      </c>
      <c r="CB92" s="2">
        <v>31</v>
      </c>
      <c r="CC92" s="2">
        <v>18</v>
      </c>
      <c r="CD92" s="2">
        <v>2</v>
      </c>
      <c r="CE92" s="2">
        <v>9</v>
      </c>
      <c r="CF92" s="2">
        <v>45</v>
      </c>
      <c r="CG92" s="2">
        <v>17</v>
      </c>
      <c r="CH92" s="2">
        <v>22</v>
      </c>
      <c r="CI92" s="2">
        <v>19</v>
      </c>
      <c r="CJ92" s="2">
        <v>6</v>
      </c>
      <c r="CK92" s="2">
        <v>40</v>
      </c>
      <c r="CL92" s="2">
        <v>31</v>
      </c>
      <c r="CM92" s="2">
        <v>0</v>
      </c>
      <c r="CN92" s="2">
        <v>15</v>
      </c>
      <c r="CP92" s="2"/>
      <c r="CR92" s="19" t="s">
        <v>434</v>
      </c>
      <c r="CS92" s="2">
        <v>144</v>
      </c>
    </row>
    <row r="93" spans="29:97" x14ac:dyDescent="0.25">
      <c r="AC93" s="19" t="s">
        <v>145</v>
      </c>
      <c r="AD93" s="2">
        <v>0</v>
      </c>
      <c r="AE93" s="2">
        <v>79</v>
      </c>
      <c r="AF93" s="2">
        <v>49</v>
      </c>
      <c r="AG93" s="2">
        <v>20</v>
      </c>
      <c r="AH93" s="2">
        <v>16</v>
      </c>
      <c r="AI93" s="2">
        <v>0</v>
      </c>
      <c r="AJ93" s="2">
        <v>48</v>
      </c>
      <c r="AK93" s="2">
        <v>21</v>
      </c>
      <c r="AL93" s="2">
        <v>0</v>
      </c>
      <c r="AM93" s="2">
        <v>0</v>
      </c>
      <c r="AN93" s="2">
        <v>144</v>
      </c>
      <c r="AO93" s="2">
        <v>200</v>
      </c>
      <c r="AP93" s="2">
        <v>80</v>
      </c>
      <c r="AS93" s="19" t="s">
        <v>435</v>
      </c>
      <c r="AT93" s="2">
        <v>621</v>
      </c>
      <c r="BZ93" s="2"/>
      <c r="CA93" s="19" t="s">
        <v>145</v>
      </c>
      <c r="CB93" s="2">
        <v>0</v>
      </c>
      <c r="CC93" s="2">
        <v>0</v>
      </c>
      <c r="CD93" s="2">
        <v>20</v>
      </c>
      <c r="CE93" s="2">
        <v>37</v>
      </c>
      <c r="CF93" s="2">
        <v>28</v>
      </c>
      <c r="CG93" s="2">
        <v>6</v>
      </c>
      <c r="CH93" s="2">
        <v>10</v>
      </c>
      <c r="CI93" s="2">
        <v>5</v>
      </c>
      <c r="CJ93" s="2">
        <v>4</v>
      </c>
      <c r="CK93" s="2">
        <v>0</v>
      </c>
      <c r="CL93" s="2">
        <v>7</v>
      </c>
      <c r="CM93" s="2">
        <v>3</v>
      </c>
      <c r="CN93" s="2">
        <v>0</v>
      </c>
      <c r="CP93" s="2"/>
      <c r="CR93" s="19" t="s">
        <v>435</v>
      </c>
      <c r="CS93" s="2">
        <v>130</v>
      </c>
    </row>
    <row r="94" spans="29:97" x14ac:dyDescent="0.25">
      <c r="AC94" s="19" t="s">
        <v>146</v>
      </c>
      <c r="AD94" s="2">
        <v>12</v>
      </c>
      <c r="AE94" s="2">
        <v>18</v>
      </c>
      <c r="AF94" s="2">
        <v>0</v>
      </c>
      <c r="AG94" s="2">
        <v>0</v>
      </c>
      <c r="AH94" s="2">
        <v>0</v>
      </c>
      <c r="AI94" s="2">
        <v>18</v>
      </c>
      <c r="AJ94" s="2">
        <v>0</v>
      </c>
      <c r="AK94" s="2">
        <v>0</v>
      </c>
      <c r="AL94" s="2">
        <v>6</v>
      </c>
      <c r="AM94" s="2">
        <v>20</v>
      </c>
      <c r="AN94" s="2">
        <v>0</v>
      </c>
      <c r="AO94" s="2">
        <v>166</v>
      </c>
      <c r="AP94" s="2">
        <v>127</v>
      </c>
      <c r="AS94" s="19" t="s">
        <v>436</v>
      </c>
      <c r="AT94" s="2">
        <v>501</v>
      </c>
      <c r="BZ94" s="2"/>
      <c r="CA94" s="19" t="s">
        <v>146</v>
      </c>
      <c r="CB94" s="2">
        <v>0</v>
      </c>
      <c r="CC94" s="2">
        <v>8</v>
      </c>
      <c r="CD94" s="2">
        <v>0</v>
      </c>
      <c r="CE94" s="2">
        <v>14</v>
      </c>
      <c r="CF94" s="2">
        <v>8</v>
      </c>
      <c r="CG94" s="2">
        <v>3</v>
      </c>
      <c r="CH94" s="2">
        <v>0</v>
      </c>
      <c r="CI94" s="2">
        <v>0</v>
      </c>
      <c r="CJ94" s="2">
        <v>0</v>
      </c>
      <c r="CK94" s="2">
        <v>0</v>
      </c>
      <c r="CL94" s="2">
        <v>0</v>
      </c>
      <c r="CM94" s="2">
        <v>0</v>
      </c>
      <c r="CN94" s="2">
        <v>0</v>
      </c>
      <c r="CP94" s="2"/>
      <c r="CR94" s="19" t="s">
        <v>436</v>
      </c>
      <c r="CS94" s="2">
        <v>107</v>
      </c>
    </row>
    <row r="95" spans="29:97" x14ac:dyDescent="0.25">
      <c r="AC95" s="19" t="s">
        <v>147</v>
      </c>
      <c r="AD95" s="2">
        <v>68</v>
      </c>
      <c r="AE95" s="2">
        <v>0</v>
      </c>
      <c r="AF95" s="2">
        <v>0</v>
      </c>
      <c r="AG95" s="2">
        <v>0</v>
      </c>
      <c r="AH95" s="2">
        <v>0</v>
      </c>
      <c r="AI95" s="2">
        <v>0</v>
      </c>
      <c r="AJ95" s="2">
        <v>0</v>
      </c>
      <c r="AK95" s="2">
        <v>0</v>
      </c>
      <c r="AL95" s="2">
        <v>0</v>
      </c>
      <c r="AM95" s="2">
        <v>0</v>
      </c>
      <c r="AN95" s="2">
        <v>0</v>
      </c>
      <c r="AO95" s="2">
        <v>0</v>
      </c>
      <c r="AP95" s="2">
        <v>0</v>
      </c>
      <c r="AS95" s="19" t="s">
        <v>437</v>
      </c>
      <c r="AT95" s="2">
        <v>518</v>
      </c>
      <c r="BZ95" s="2"/>
      <c r="CA95" s="19" t="s">
        <v>147</v>
      </c>
      <c r="CB95" s="2">
        <v>35</v>
      </c>
      <c r="CC95" s="2">
        <v>0</v>
      </c>
      <c r="CD95" s="2">
        <v>0</v>
      </c>
      <c r="CE95" s="2">
        <v>0</v>
      </c>
      <c r="CF95" s="2">
        <v>0</v>
      </c>
      <c r="CG95" s="2">
        <v>0</v>
      </c>
      <c r="CH95" s="2">
        <v>0</v>
      </c>
      <c r="CI95" s="2">
        <v>0</v>
      </c>
      <c r="CJ95" s="2">
        <v>0</v>
      </c>
      <c r="CK95" s="2">
        <v>0</v>
      </c>
      <c r="CL95" s="2">
        <v>0</v>
      </c>
      <c r="CM95" s="2">
        <v>0</v>
      </c>
      <c r="CN95" s="2">
        <v>0</v>
      </c>
      <c r="CP95" s="2"/>
      <c r="CR95" s="19" t="s">
        <v>437</v>
      </c>
      <c r="CS95" s="2">
        <v>128</v>
      </c>
    </row>
    <row r="96" spans="29:97" x14ac:dyDescent="0.25">
      <c r="AC96" s="19" t="s">
        <v>328</v>
      </c>
      <c r="AD96" s="2">
        <v>231</v>
      </c>
      <c r="AE96" s="2">
        <v>182</v>
      </c>
      <c r="AF96" s="2">
        <v>90</v>
      </c>
      <c r="AG96" s="2">
        <v>12</v>
      </c>
      <c r="AH96" s="2">
        <v>72</v>
      </c>
      <c r="AI96" s="2">
        <v>25</v>
      </c>
      <c r="AJ96" s="2">
        <v>2</v>
      </c>
      <c r="AK96" s="2">
        <v>12</v>
      </c>
      <c r="AL96" s="2">
        <v>50</v>
      </c>
      <c r="AM96" s="2">
        <v>34</v>
      </c>
      <c r="AN96" s="2">
        <v>11</v>
      </c>
      <c r="AO96" s="2">
        <v>24</v>
      </c>
      <c r="AP96" s="2">
        <v>79</v>
      </c>
      <c r="AS96" s="19" t="s">
        <v>438</v>
      </c>
      <c r="AT96" s="2">
        <v>631</v>
      </c>
      <c r="BZ96" s="2"/>
      <c r="CA96" s="19" t="s">
        <v>328</v>
      </c>
      <c r="CB96" s="2">
        <v>41</v>
      </c>
      <c r="CC96" s="2">
        <v>0</v>
      </c>
      <c r="CD96" s="2">
        <v>0</v>
      </c>
      <c r="CE96" s="2">
        <v>12</v>
      </c>
      <c r="CF96" s="2">
        <v>0</v>
      </c>
      <c r="CG96" s="2">
        <v>23</v>
      </c>
      <c r="CH96" s="2">
        <v>11</v>
      </c>
      <c r="CI96" s="2">
        <v>0</v>
      </c>
      <c r="CJ96" s="2">
        <v>6</v>
      </c>
      <c r="CK96" s="2">
        <v>0</v>
      </c>
      <c r="CL96" s="2">
        <v>0</v>
      </c>
      <c r="CM96" s="2">
        <v>8</v>
      </c>
      <c r="CN96" s="2">
        <v>3</v>
      </c>
      <c r="CP96" s="2"/>
      <c r="CR96" s="19" t="s">
        <v>438</v>
      </c>
      <c r="CS96" s="2">
        <v>99</v>
      </c>
    </row>
    <row r="97" spans="29:94" x14ac:dyDescent="0.25">
      <c r="AC97" s="19" t="s">
        <v>148</v>
      </c>
      <c r="AD97" s="2">
        <v>103</v>
      </c>
      <c r="AE97" s="2">
        <v>12</v>
      </c>
      <c r="AF97" s="2">
        <v>0</v>
      </c>
      <c r="AG97" s="2">
        <v>0</v>
      </c>
      <c r="AH97" s="2">
        <v>0</v>
      </c>
      <c r="AI97" s="2">
        <v>0</v>
      </c>
      <c r="AJ97" s="2">
        <v>0</v>
      </c>
      <c r="AK97" s="2">
        <v>0</v>
      </c>
      <c r="AL97" s="2">
        <v>0</v>
      </c>
      <c r="AM97" s="2">
        <v>0</v>
      </c>
      <c r="AN97" s="2">
        <v>0</v>
      </c>
      <c r="AO97" s="2">
        <v>81</v>
      </c>
      <c r="AP97" s="2">
        <v>100</v>
      </c>
      <c r="BZ97" s="2"/>
      <c r="CA97" s="19" t="s">
        <v>148</v>
      </c>
      <c r="CB97" s="2">
        <v>22</v>
      </c>
      <c r="CC97" s="2">
        <v>0</v>
      </c>
      <c r="CD97" s="2">
        <v>0</v>
      </c>
      <c r="CE97" s="2">
        <v>8</v>
      </c>
      <c r="CF97" s="2">
        <v>31</v>
      </c>
      <c r="CG97" s="2">
        <v>4</v>
      </c>
      <c r="CH97" s="2">
        <v>0</v>
      </c>
      <c r="CI97" s="2">
        <v>0</v>
      </c>
      <c r="CJ97" s="2">
        <v>0</v>
      </c>
      <c r="CK97" s="2">
        <v>0</v>
      </c>
      <c r="CL97" s="2">
        <v>0</v>
      </c>
      <c r="CM97" s="2">
        <v>0</v>
      </c>
      <c r="CN97" s="2">
        <v>0</v>
      </c>
      <c r="CP97" s="2"/>
    </row>
    <row r="98" spans="29:94" x14ac:dyDescent="0.25">
      <c r="AC98" s="19" t="s">
        <v>149</v>
      </c>
      <c r="AD98" s="2">
        <v>0</v>
      </c>
      <c r="AE98" s="2">
        <v>0</v>
      </c>
      <c r="AF98" s="2">
        <v>0</v>
      </c>
      <c r="AG98" s="2">
        <v>0</v>
      </c>
      <c r="AH98" s="2">
        <v>0</v>
      </c>
      <c r="AI98" s="2">
        <v>0</v>
      </c>
      <c r="AJ98" s="2">
        <v>0</v>
      </c>
      <c r="AK98" s="2">
        <v>0</v>
      </c>
      <c r="AL98" s="2">
        <v>0</v>
      </c>
      <c r="AM98" s="2">
        <v>0</v>
      </c>
      <c r="AN98" s="2">
        <v>0</v>
      </c>
      <c r="AO98" s="2">
        <v>0</v>
      </c>
      <c r="AP98" s="2">
        <v>0</v>
      </c>
      <c r="BZ98" s="2"/>
      <c r="CA98" s="19" t="s">
        <v>149</v>
      </c>
      <c r="CB98" s="2">
        <v>0</v>
      </c>
      <c r="CC98" s="2">
        <v>0</v>
      </c>
      <c r="CD98" s="2">
        <v>0</v>
      </c>
      <c r="CE98" s="2">
        <v>0</v>
      </c>
      <c r="CF98" s="2">
        <v>0</v>
      </c>
      <c r="CG98" s="2">
        <v>0</v>
      </c>
      <c r="CH98" s="2">
        <v>0</v>
      </c>
      <c r="CI98" s="2">
        <v>0</v>
      </c>
      <c r="CJ98" s="2">
        <v>0</v>
      </c>
      <c r="CK98" s="2">
        <v>0</v>
      </c>
      <c r="CL98" s="2">
        <v>0</v>
      </c>
      <c r="CM98" s="2">
        <v>0</v>
      </c>
      <c r="CN98" s="2">
        <v>0</v>
      </c>
      <c r="CP98" s="2"/>
    </row>
    <row r="99" spans="29:94" x14ac:dyDescent="0.25">
      <c r="AC99" s="19" t="s">
        <v>150</v>
      </c>
      <c r="AD99" s="2">
        <v>106</v>
      </c>
      <c r="AE99" s="2">
        <v>6</v>
      </c>
      <c r="AF99" s="2">
        <v>0</v>
      </c>
      <c r="AG99" s="2">
        <v>0</v>
      </c>
      <c r="AH99" s="2">
        <v>0</v>
      </c>
      <c r="AI99" s="2">
        <v>0</v>
      </c>
      <c r="AJ99" s="2">
        <v>1</v>
      </c>
      <c r="AK99" s="2">
        <v>0</v>
      </c>
      <c r="AL99" s="2">
        <v>0</v>
      </c>
      <c r="AM99" s="2">
        <v>3</v>
      </c>
      <c r="AN99" s="2">
        <v>3</v>
      </c>
      <c r="AO99" s="2">
        <v>0</v>
      </c>
      <c r="AP99" s="2">
        <v>90</v>
      </c>
      <c r="BZ99" s="2"/>
      <c r="CA99" s="19" t="s">
        <v>150</v>
      </c>
      <c r="CB99" s="2">
        <v>11</v>
      </c>
      <c r="CC99" s="2">
        <v>3</v>
      </c>
      <c r="CD99" s="2">
        <v>3</v>
      </c>
      <c r="CE99" s="2">
        <v>0</v>
      </c>
      <c r="CF99" s="2">
        <v>11</v>
      </c>
      <c r="CG99" s="2">
        <v>2</v>
      </c>
      <c r="CH99" s="2">
        <v>0</v>
      </c>
      <c r="CI99" s="2">
        <v>0</v>
      </c>
      <c r="CJ99" s="2">
        <v>0</v>
      </c>
      <c r="CK99" s="2">
        <v>0</v>
      </c>
      <c r="CL99" s="2">
        <v>1</v>
      </c>
      <c r="CM99" s="2">
        <v>0</v>
      </c>
      <c r="CN99" s="2">
        <v>0</v>
      </c>
      <c r="CP99" s="2"/>
    </row>
    <row r="100" spans="29:94" x14ac:dyDescent="0.25">
      <c r="AC100" s="19" t="s">
        <v>151</v>
      </c>
      <c r="AD100" s="2">
        <v>193</v>
      </c>
      <c r="AE100" s="2">
        <v>176</v>
      </c>
      <c r="AF100" s="2">
        <v>417</v>
      </c>
      <c r="AG100" s="2">
        <v>190</v>
      </c>
      <c r="AH100" s="2">
        <v>17</v>
      </c>
      <c r="AI100" s="2">
        <v>27</v>
      </c>
      <c r="AJ100" s="2">
        <v>0</v>
      </c>
      <c r="AK100" s="2">
        <v>0</v>
      </c>
      <c r="AL100" s="2">
        <v>6</v>
      </c>
      <c r="AM100" s="2">
        <v>128</v>
      </c>
      <c r="AN100" s="2">
        <v>123</v>
      </c>
      <c r="AO100" s="2">
        <v>18</v>
      </c>
      <c r="AP100" s="2">
        <v>50</v>
      </c>
      <c r="BZ100" s="2"/>
      <c r="CA100" s="19" t="s">
        <v>151</v>
      </c>
      <c r="CB100" s="2">
        <v>43</v>
      </c>
      <c r="CC100" s="2">
        <v>23</v>
      </c>
      <c r="CD100" s="2">
        <v>44</v>
      </c>
      <c r="CE100" s="2">
        <v>6</v>
      </c>
      <c r="CF100" s="2">
        <v>3</v>
      </c>
      <c r="CG100" s="2">
        <v>77</v>
      </c>
      <c r="CH100" s="2">
        <v>77</v>
      </c>
      <c r="CI100" s="2">
        <v>55</v>
      </c>
      <c r="CJ100" s="2">
        <v>5</v>
      </c>
      <c r="CK100" s="2">
        <v>4</v>
      </c>
      <c r="CL100" s="2">
        <v>0</v>
      </c>
      <c r="CM100" s="2">
        <v>0</v>
      </c>
      <c r="CN100" s="2">
        <v>0</v>
      </c>
      <c r="CP100" s="2"/>
    </row>
    <row r="101" spans="29:94" x14ac:dyDescent="0.25">
      <c r="AC101" s="19" t="s">
        <v>152</v>
      </c>
      <c r="AD101" s="2">
        <v>1</v>
      </c>
      <c r="AE101" s="2">
        <v>0</v>
      </c>
      <c r="AF101" s="2">
        <v>4</v>
      </c>
      <c r="AG101" s="2">
        <v>0</v>
      </c>
      <c r="AH101" s="2">
        <v>0</v>
      </c>
      <c r="AI101" s="2">
        <v>0</v>
      </c>
      <c r="AJ101" s="2">
        <v>2</v>
      </c>
      <c r="AK101" s="2">
        <v>0</v>
      </c>
      <c r="AL101" s="2">
        <v>0</v>
      </c>
      <c r="AM101" s="2">
        <v>0</v>
      </c>
      <c r="AN101" s="2">
        <v>0</v>
      </c>
      <c r="AO101" s="2">
        <v>0</v>
      </c>
      <c r="AP101" s="2">
        <v>0</v>
      </c>
      <c r="BZ101" s="2"/>
      <c r="CA101" s="19" t="s">
        <v>152</v>
      </c>
      <c r="CB101" s="2">
        <v>1</v>
      </c>
      <c r="CC101" s="2">
        <v>0</v>
      </c>
      <c r="CD101" s="2">
        <v>0</v>
      </c>
      <c r="CE101" s="2">
        <v>0</v>
      </c>
      <c r="CF101" s="2">
        <v>0</v>
      </c>
      <c r="CG101" s="2">
        <v>0</v>
      </c>
      <c r="CH101" s="2">
        <v>0</v>
      </c>
      <c r="CI101" s="2">
        <v>0</v>
      </c>
      <c r="CJ101" s="2">
        <v>0</v>
      </c>
      <c r="CK101" s="2">
        <v>0</v>
      </c>
      <c r="CL101" s="2">
        <v>2</v>
      </c>
      <c r="CM101" s="2">
        <v>0</v>
      </c>
      <c r="CN101" s="2">
        <v>0</v>
      </c>
      <c r="CP101" s="2"/>
    </row>
    <row r="102" spans="29:94" x14ac:dyDescent="0.25">
      <c r="AC102" s="19" t="s">
        <v>153</v>
      </c>
      <c r="AD102" s="2">
        <v>338</v>
      </c>
      <c r="AE102" s="2">
        <v>230</v>
      </c>
      <c r="AF102" s="2">
        <v>119</v>
      </c>
      <c r="AG102" s="2">
        <v>199</v>
      </c>
      <c r="AH102" s="2">
        <v>28</v>
      </c>
      <c r="AI102" s="2">
        <v>0</v>
      </c>
      <c r="AJ102" s="2">
        <v>0</v>
      </c>
      <c r="AK102" s="2">
        <v>0</v>
      </c>
      <c r="AL102" s="2">
        <v>0</v>
      </c>
      <c r="AM102" s="2">
        <v>0</v>
      </c>
      <c r="AN102" s="2">
        <v>0</v>
      </c>
      <c r="AO102" s="2">
        <v>0</v>
      </c>
      <c r="AP102" s="2">
        <v>0</v>
      </c>
      <c r="BZ102" s="2"/>
      <c r="CA102" s="19" t="s">
        <v>153</v>
      </c>
      <c r="CB102" s="2">
        <v>54</v>
      </c>
      <c r="CC102" s="2">
        <v>0</v>
      </c>
      <c r="CD102" s="2">
        <v>0</v>
      </c>
      <c r="CE102" s="2">
        <v>0</v>
      </c>
      <c r="CF102" s="2">
        <v>0</v>
      </c>
      <c r="CG102" s="2">
        <v>28</v>
      </c>
      <c r="CH102" s="2">
        <v>23</v>
      </c>
      <c r="CI102" s="2">
        <v>12</v>
      </c>
      <c r="CJ102" s="2">
        <v>3</v>
      </c>
      <c r="CK102" s="2">
        <v>0</v>
      </c>
      <c r="CL102" s="2">
        <v>0</v>
      </c>
      <c r="CM102" s="2">
        <v>0</v>
      </c>
      <c r="CN102" s="2">
        <v>0</v>
      </c>
      <c r="CP102" s="2"/>
    </row>
    <row r="103" spans="29:94" x14ac:dyDescent="0.25">
      <c r="AC103" s="19" t="s">
        <v>154</v>
      </c>
      <c r="AD103" s="2">
        <v>0</v>
      </c>
      <c r="AE103" s="2">
        <v>0</v>
      </c>
      <c r="AF103" s="2">
        <v>66</v>
      </c>
      <c r="AG103" s="2">
        <v>0</v>
      </c>
      <c r="AH103" s="2">
        <v>0</v>
      </c>
      <c r="AI103" s="2">
        <v>52</v>
      </c>
      <c r="AJ103" s="2">
        <v>32</v>
      </c>
      <c r="AK103" s="2">
        <v>0</v>
      </c>
      <c r="AL103" s="2">
        <v>267</v>
      </c>
      <c r="AM103" s="2">
        <v>107</v>
      </c>
      <c r="AN103" s="2">
        <v>98</v>
      </c>
      <c r="AO103" s="2">
        <v>0</v>
      </c>
      <c r="AP103" s="2">
        <v>0</v>
      </c>
      <c r="BZ103" s="2"/>
      <c r="CA103" s="19" t="s">
        <v>154</v>
      </c>
      <c r="CB103" s="2">
        <v>0</v>
      </c>
      <c r="CC103" s="2">
        <v>13</v>
      </c>
      <c r="CD103" s="2">
        <v>23</v>
      </c>
      <c r="CE103" s="2">
        <v>0</v>
      </c>
      <c r="CF103" s="2">
        <v>0</v>
      </c>
      <c r="CG103" s="2">
        <v>0</v>
      </c>
      <c r="CH103" s="2">
        <v>15</v>
      </c>
      <c r="CI103" s="2">
        <v>0</v>
      </c>
      <c r="CJ103" s="2">
        <v>0</v>
      </c>
      <c r="CK103" s="2">
        <v>16</v>
      </c>
      <c r="CL103" s="2">
        <v>8</v>
      </c>
      <c r="CM103" s="2">
        <v>0</v>
      </c>
      <c r="CN103" s="2">
        <v>33</v>
      </c>
      <c r="CP103" s="2"/>
    </row>
    <row r="104" spans="29:94" x14ac:dyDescent="0.25">
      <c r="AC104" s="19" t="s">
        <v>155</v>
      </c>
      <c r="AD104" s="2">
        <v>0</v>
      </c>
      <c r="AE104" s="2">
        <v>0</v>
      </c>
      <c r="AF104" s="2">
        <v>0</v>
      </c>
      <c r="AG104" s="2">
        <v>0</v>
      </c>
      <c r="AH104" s="2">
        <v>0</v>
      </c>
      <c r="AI104" s="2">
        <v>0</v>
      </c>
      <c r="AJ104" s="2">
        <v>0</v>
      </c>
      <c r="AK104" s="2">
        <v>0</v>
      </c>
      <c r="AL104" s="2">
        <v>0</v>
      </c>
      <c r="AM104" s="2">
        <v>0</v>
      </c>
      <c r="AN104" s="2">
        <v>0</v>
      </c>
      <c r="AO104" s="2">
        <v>0</v>
      </c>
      <c r="AP104" s="2">
        <v>0</v>
      </c>
      <c r="BZ104" s="2"/>
      <c r="CA104" s="19" t="s">
        <v>155</v>
      </c>
      <c r="CB104" s="2">
        <v>0</v>
      </c>
      <c r="CC104" s="2">
        <v>0</v>
      </c>
      <c r="CD104" s="2">
        <v>0</v>
      </c>
      <c r="CE104" s="2">
        <v>0</v>
      </c>
      <c r="CF104" s="2">
        <v>0</v>
      </c>
      <c r="CG104" s="2">
        <v>0</v>
      </c>
      <c r="CH104" s="2">
        <v>0</v>
      </c>
      <c r="CI104" s="2">
        <v>0</v>
      </c>
      <c r="CJ104" s="2">
        <v>0</v>
      </c>
      <c r="CK104" s="2">
        <v>0</v>
      </c>
      <c r="CL104" s="2">
        <v>0</v>
      </c>
      <c r="CM104" s="2">
        <v>0</v>
      </c>
      <c r="CN104" s="2">
        <v>0</v>
      </c>
      <c r="CP104" s="2"/>
    </row>
    <row r="105" spans="29:94" x14ac:dyDescent="0.25">
      <c r="AC105" s="19" t="s">
        <v>156</v>
      </c>
      <c r="AD105" s="2">
        <v>59</v>
      </c>
      <c r="AE105" s="2">
        <v>403</v>
      </c>
      <c r="AF105" s="2">
        <v>179</v>
      </c>
      <c r="AG105" s="2">
        <v>6</v>
      </c>
      <c r="AH105" s="2">
        <v>16</v>
      </c>
      <c r="AI105" s="2">
        <v>79</v>
      </c>
      <c r="AJ105" s="2">
        <v>258</v>
      </c>
      <c r="AK105" s="2">
        <v>255</v>
      </c>
      <c r="AL105" s="2">
        <v>225</v>
      </c>
      <c r="AM105" s="2">
        <v>368</v>
      </c>
      <c r="AN105" s="2">
        <v>302</v>
      </c>
      <c r="AO105" s="2">
        <v>147</v>
      </c>
      <c r="AP105" s="2">
        <v>207</v>
      </c>
      <c r="BZ105" s="2"/>
      <c r="CA105" s="19" t="s">
        <v>156</v>
      </c>
      <c r="CB105" s="2">
        <v>1</v>
      </c>
      <c r="CC105" s="2">
        <v>58</v>
      </c>
      <c r="CD105" s="2">
        <v>100</v>
      </c>
      <c r="CE105" s="2">
        <v>33</v>
      </c>
      <c r="CF105" s="2">
        <v>15</v>
      </c>
      <c r="CG105" s="2">
        <v>61</v>
      </c>
      <c r="CH105" s="2">
        <v>35</v>
      </c>
      <c r="CI105" s="2">
        <v>2</v>
      </c>
      <c r="CJ105" s="2">
        <v>3</v>
      </c>
      <c r="CK105" s="2">
        <v>13</v>
      </c>
      <c r="CL105" s="2">
        <v>37</v>
      </c>
      <c r="CM105" s="2">
        <v>47</v>
      </c>
      <c r="CN105" s="2">
        <v>50</v>
      </c>
      <c r="CP105" s="2"/>
    </row>
    <row r="106" spans="29:94" x14ac:dyDescent="0.25">
      <c r="AC106" s="19" t="s">
        <v>157</v>
      </c>
      <c r="AD106" s="2">
        <v>0</v>
      </c>
      <c r="AE106" s="2">
        <v>4</v>
      </c>
      <c r="AF106" s="2">
        <v>8</v>
      </c>
      <c r="AG106" s="2">
        <v>0</v>
      </c>
      <c r="AH106" s="2">
        <v>0</v>
      </c>
      <c r="AI106" s="2">
        <v>0</v>
      </c>
      <c r="AJ106" s="2">
        <v>0</v>
      </c>
      <c r="AK106" s="2">
        <v>0</v>
      </c>
      <c r="AL106" s="2">
        <v>4</v>
      </c>
      <c r="AM106" s="2">
        <v>0</v>
      </c>
      <c r="AN106" s="2">
        <v>0</v>
      </c>
      <c r="AO106" s="2">
        <v>0</v>
      </c>
      <c r="AP106" s="2">
        <v>0</v>
      </c>
      <c r="BZ106" s="2"/>
      <c r="CA106" s="19" t="s">
        <v>157</v>
      </c>
      <c r="CB106" s="2">
        <v>0</v>
      </c>
      <c r="CC106" s="2">
        <v>0</v>
      </c>
      <c r="CD106" s="2">
        <v>0</v>
      </c>
      <c r="CE106" s="2">
        <v>0</v>
      </c>
      <c r="CF106" s="2">
        <v>0</v>
      </c>
      <c r="CG106" s="2">
        <v>0</v>
      </c>
      <c r="CH106" s="2">
        <v>3</v>
      </c>
      <c r="CI106" s="2">
        <v>0</v>
      </c>
      <c r="CJ106" s="2">
        <v>0</v>
      </c>
      <c r="CK106" s="2">
        <v>0</v>
      </c>
      <c r="CL106" s="2">
        <v>0</v>
      </c>
      <c r="CM106" s="2">
        <v>0</v>
      </c>
      <c r="CN106" s="2">
        <v>1</v>
      </c>
      <c r="CP106" s="2"/>
    </row>
    <row r="107" spans="29:94" x14ac:dyDescent="0.25">
      <c r="AC107" s="19" t="s">
        <v>158</v>
      </c>
      <c r="AD107" s="2">
        <v>0</v>
      </c>
      <c r="AE107" s="2">
        <v>0</v>
      </c>
      <c r="AF107" s="2">
        <v>0</v>
      </c>
      <c r="AG107" s="2">
        <v>0</v>
      </c>
      <c r="AH107" s="2">
        <v>0</v>
      </c>
      <c r="AI107" s="2">
        <v>0</v>
      </c>
      <c r="AJ107" s="2">
        <v>0</v>
      </c>
      <c r="AK107" s="2">
        <v>0</v>
      </c>
      <c r="AL107" s="2">
        <v>0</v>
      </c>
      <c r="AM107" s="2">
        <v>0</v>
      </c>
      <c r="AN107" s="2">
        <v>0</v>
      </c>
      <c r="AO107" s="2">
        <v>0</v>
      </c>
      <c r="AP107" s="2">
        <v>0</v>
      </c>
      <c r="BZ107" s="2"/>
      <c r="CA107" s="19" t="s">
        <v>158</v>
      </c>
      <c r="CB107" s="2">
        <v>0</v>
      </c>
      <c r="CC107" s="2">
        <v>0</v>
      </c>
      <c r="CD107" s="2">
        <v>0</v>
      </c>
      <c r="CE107" s="2">
        <v>0</v>
      </c>
      <c r="CF107" s="2">
        <v>0</v>
      </c>
      <c r="CG107" s="2">
        <v>0</v>
      </c>
      <c r="CH107" s="2">
        <v>0</v>
      </c>
      <c r="CI107" s="2">
        <v>0</v>
      </c>
      <c r="CJ107" s="2">
        <v>0</v>
      </c>
      <c r="CK107" s="2">
        <v>0</v>
      </c>
      <c r="CL107" s="2">
        <v>0</v>
      </c>
      <c r="CM107" s="2">
        <v>0</v>
      </c>
      <c r="CN107" s="2">
        <v>0</v>
      </c>
      <c r="CP107" s="2"/>
    </row>
    <row r="108" spans="29:94" x14ac:dyDescent="0.25">
      <c r="AC108" s="19" t="s">
        <v>159</v>
      </c>
      <c r="AD108" s="2">
        <v>246</v>
      </c>
      <c r="AE108" s="2">
        <v>35</v>
      </c>
      <c r="AF108" s="2">
        <v>0</v>
      </c>
      <c r="AG108" s="2">
        <v>150</v>
      </c>
      <c r="AH108" s="2">
        <v>0</v>
      </c>
      <c r="AI108" s="2">
        <v>24</v>
      </c>
      <c r="AJ108" s="2">
        <v>18</v>
      </c>
      <c r="AK108" s="2">
        <v>151</v>
      </c>
      <c r="AL108" s="2">
        <v>100</v>
      </c>
      <c r="AM108" s="2">
        <v>0</v>
      </c>
      <c r="AN108" s="2">
        <v>0</v>
      </c>
      <c r="AO108" s="2">
        <v>6</v>
      </c>
      <c r="AP108" s="2">
        <v>20</v>
      </c>
      <c r="BZ108" s="2"/>
      <c r="CA108" s="19" t="s">
        <v>159</v>
      </c>
      <c r="CB108" s="2">
        <v>83</v>
      </c>
      <c r="CC108" s="2">
        <v>0</v>
      </c>
      <c r="CD108" s="2">
        <v>0</v>
      </c>
      <c r="CE108" s="2">
        <v>2</v>
      </c>
      <c r="CF108" s="2">
        <v>3</v>
      </c>
      <c r="CG108" s="2">
        <v>15</v>
      </c>
      <c r="CH108" s="2">
        <v>0</v>
      </c>
      <c r="CI108" s="2">
        <v>60</v>
      </c>
      <c r="CJ108" s="2">
        <v>0</v>
      </c>
      <c r="CK108" s="2">
        <v>6</v>
      </c>
      <c r="CL108" s="2">
        <v>6</v>
      </c>
      <c r="CM108" s="2">
        <v>54</v>
      </c>
      <c r="CN108" s="2">
        <v>56</v>
      </c>
      <c r="CP108" s="2"/>
    </row>
    <row r="109" spans="29:94" x14ac:dyDescent="0.25">
      <c r="AC109" s="19" t="s">
        <v>160</v>
      </c>
      <c r="AD109" s="2">
        <v>0</v>
      </c>
      <c r="AE109" s="2">
        <v>106</v>
      </c>
      <c r="AF109" s="2">
        <v>0</v>
      </c>
      <c r="AG109" s="2">
        <v>0</v>
      </c>
      <c r="AH109" s="2">
        <v>0</v>
      </c>
      <c r="AI109" s="2">
        <v>0</v>
      </c>
      <c r="AJ109" s="2">
        <v>0</v>
      </c>
      <c r="AK109" s="2">
        <v>0</v>
      </c>
      <c r="AL109" s="2">
        <v>0</v>
      </c>
      <c r="AM109" s="2">
        <v>0</v>
      </c>
      <c r="AN109" s="2">
        <v>0</v>
      </c>
      <c r="AO109" s="2">
        <v>107</v>
      </c>
      <c r="AP109" s="2">
        <v>0</v>
      </c>
      <c r="BZ109" s="2"/>
      <c r="CA109" s="19" t="s">
        <v>160</v>
      </c>
      <c r="CB109" s="2">
        <v>0</v>
      </c>
      <c r="CC109" s="2">
        <v>0</v>
      </c>
      <c r="CD109" s="2">
        <v>0</v>
      </c>
      <c r="CE109" s="2">
        <v>44</v>
      </c>
      <c r="CF109" s="2">
        <v>0</v>
      </c>
      <c r="CG109" s="2">
        <v>25</v>
      </c>
      <c r="CH109" s="2">
        <v>0</v>
      </c>
      <c r="CI109" s="2">
        <v>0</v>
      </c>
      <c r="CJ109" s="2">
        <v>0</v>
      </c>
      <c r="CK109" s="2">
        <v>0</v>
      </c>
      <c r="CL109" s="2">
        <v>0</v>
      </c>
      <c r="CM109" s="2">
        <v>0</v>
      </c>
      <c r="CN109" s="2">
        <v>0</v>
      </c>
      <c r="CP109" s="2"/>
    </row>
    <row r="110" spans="29:94" x14ac:dyDescent="0.25">
      <c r="AC110" s="19" t="s">
        <v>292</v>
      </c>
      <c r="AD110" s="2">
        <v>36</v>
      </c>
      <c r="AE110" s="2">
        <v>231</v>
      </c>
      <c r="AF110" s="2">
        <v>35</v>
      </c>
      <c r="AG110" s="2">
        <v>47</v>
      </c>
      <c r="AH110" s="2">
        <v>30</v>
      </c>
      <c r="AI110" s="2">
        <v>10</v>
      </c>
      <c r="AJ110" s="2">
        <v>0</v>
      </c>
      <c r="AK110" s="2">
        <v>0</v>
      </c>
      <c r="AL110" s="2">
        <v>0</v>
      </c>
      <c r="AM110" s="2">
        <v>0</v>
      </c>
      <c r="AN110" s="2">
        <v>0</v>
      </c>
      <c r="AO110" s="2">
        <v>0</v>
      </c>
      <c r="AP110" s="2">
        <v>18</v>
      </c>
      <c r="BZ110" s="2"/>
      <c r="CA110" s="19" t="s">
        <v>292</v>
      </c>
      <c r="CB110" s="2">
        <v>10</v>
      </c>
      <c r="CC110" s="2">
        <v>0</v>
      </c>
      <c r="CD110" s="2">
        <v>0</v>
      </c>
      <c r="CE110" s="2">
        <v>0</v>
      </c>
      <c r="CF110" s="2">
        <v>3</v>
      </c>
      <c r="CG110" s="2">
        <v>83</v>
      </c>
      <c r="CH110" s="2">
        <v>0</v>
      </c>
      <c r="CI110" s="2">
        <v>27</v>
      </c>
      <c r="CJ110" s="2">
        <v>18</v>
      </c>
      <c r="CK110" s="2">
        <v>6</v>
      </c>
      <c r="CL110" s="2">
        <v>0</v>
      </c>
      <c r="CM110" s="2">
        <v>0</v>
      </c>
      <c r="CN110" s="2">
        <v>0</v>
      </c>
      <c r="CP110" s="2"/>
    </row>
    <row r="111" spans="29:94" x14ac:dyDescent="0.25">
      <c r="AC111" s="19" t="s">
        <v>161</v>
      </c>
      <c r="AD111" s="2">
        <v>298</v>
      </c>
      <c r="AE111" s="2">
        <v>281</v>
      </c>
      <c r="AF111" s="2">
        <v>88</v>
      </c>
      <c r="AG111" s="2">
        <v>31</v>
      </c>
      <c r="AH111" s="2">
        <v>5</v>
      </c>
      <c r="AI111" s="2">
        <v>0</v>
      </c>
      <c r="AJ111" s="2">
        <v>0</v>
      </c>
      <c r="AK111" s="2">
        <v>0</v>
      </c>
      <c r="AL111" s="2">
        <v>0</v>
      </c>
      <c r="AM111" s="2">
        <v>0</v>
      </c>
      <c r="AN111" s="2">
        <v>6</v>
      </c>
      <c r="AO111" s="2">
        <v>0</v>
      </c>
      <c r="AP111" s="2">
        <v>81</v>
      </c>
      <c r="BZ111" s="2"/>
      <c r="CA111" s="19" t="s">
        <v>161</v>
      </c>
      <c r="CB111" s="2">
        <v>26</v>
      </c>
      <c r="CC111" s="2">
        <v>0</v>
      </c>
      <c r="CD111" s="2">
        <v>2</v>
      </c>
      <c r="CE111" s="2">
        <v>0</v>
      </c>
      <c r="CF111" s="2">
        <v>10</v>
      </c>
      <c r="CG111" s="2">
        <v>24</v>
      </c>
      <c r="CH111" s="2">
        <v>6</v>
      </c>
      <c r="CI111" s="2">
        <v>4</v>
      </c>
      <c r="CJ111" s="2">
        <v>0</v>
      </c>
      <c r="CK111" s="2">
        <v>0</v>
      </c>
      <c r="CL111" s="2">
        <v>0</v>
      </c>
      <c r="CM111" s="2">
        <v>0</v>
      </c>
      <c r="CN111" s="2">
        <v>0</v>
      </c>
      <c r="CP111" s="2"/>
    </row>
    <row r="112" spans="29:94" x14ac:dyDescent="0.25">
      <c r="AC112" s="19" t="s">
        <v>162</v>
      </c>
      <c r="AD112" s="2">
        <v>6</v>
      </c>
      <c r="AE112" s="2">
        <v>6</v>
      </c>
      <c r="AF112" s="2">
        <v>6</v>
      </c>
      <c r="AG112" s="2">
        <v>18</v>
      </c>
      <c r="AH112" s="2">
        <v>0</v>
      </c>
      <c r="AI112" s="2">
        <v>12</v>
      </c>
      <c r="AJ112" s="2">
        <v>134</v>
      </c>
      <c r="AK112" s="2">
        <v>56</v>
      </c>
      <c r="AL112" s="2">
        <v>0</v>
      </c>
      <c r="AM112" s="2">
        <v>0</v>
      </c>
      <c r="AN112" s="2">
        <v>5</v>
      </c>
      <c r="AO112" s="2">
        <v>0</v>
      </c>
      <c r="AP112" s="2">
        <v>0</v>
      </c>
      <c r="BZ112" s="2"/>
      <c r="CA112" s="19" t="s">
        <v>162</v>
      </c>
      <c r="CB112" s="2">
        <v>0</v>
      </c>
      <c r="CC112" s="2">
        <v>0</v>
      </c>
      <c r="CD112" s="2">
        <v>1</v>
      </c>
      <c r="CE112" s="2">
        <v>0</v>
      </c>
      <c r="CF112" s="2">
        <v>0</v>
      </c>
      <c r="CG112" s="2">
        <v>0</v>
      </c>
      <c r="CH112" s="2">
        <v>3</v>
      </c>
      <c r="CI112" s="2">
        <v>5</v>
      </c>
      <c r="CJ112" s="2">
        <v>0</v>
      </c>
      <c r="CK112" s="2">
        <v>6</v>
      </c>
      <c r="CL112" s="2">
        <v>3</v>
      </c>
      <c r="CM112" s="2">
        <v>7</v>
      </c>
      <c r="CN112" s="2">
        <v>0</v>
      </c>
      <c r="CP112" s="2"/>
    </row>
    <row r="113" spans="29:94" x14ac:dyDescent="0.25">
      <c r="AC113" s="19" t="s">
        <v>163</v>
      </c>
      <c r="AD113" s="2">
        <v>0</v>
      </c>
      <c r="AE113" s="2">
        <v>0</v>
      </c>
      <c r="AF113" s="2">
        <v>6</v>
      </c>
      <c r="AG113" s="2">
        <v>0</v>
      </c>
      <c r="AH113" s="2">
        <v>6</v>
      </c>
      <c r="AI113" s="2">
        <v>0</v>
      </c>
      <c r="AJ113" s="2">
        <v>6</v>
      </c>
      <c r="AK113" s="2">
        <v>0</v>
      </c>
      <c r="AL113" s="2">
        <v>6</v>
      </c>
      <c r="AM113" s="2">
        <v>0</v>
      </c>
      <c r="AN113" s="2">
        <v>0</v>
      </c>
      <c r="AO113" s="2">
        <v>18</v>
      </c>
      <c r="AP113" s="2">
        <v>24</v>
      </c>
      <c r="BZ113" s="2"/>
      <c r="CA113" s="19" t="s">
        <v>163</v>
      </c>
      <c r="CB113" s="2">
        <v>0</v>
      </c>
      <c r="CC113" s="2">
        <v>0</v>
      </c>
      <c r="CD113" s="2">
        <v>0</v>
      </c>
      <c r="CE113" s="2">
        <v>3</v>
      </c>
      <c r="CF113" s="2">
        <v>9</v>
      </c>
      <c r="CG113" s="2">
        <v>0</v>
      </c>
      <c r="CH113" s="2">
        <v>0</v>
      </c>
      <c r="CI113" s="2">
        <v>0</v>
      </c>
      <c r="CJ113" s="2">
        <v>0</v>
      </c>
      <c r="CK113" s="2">
        <v>0</v>
      </c>
      <c r="CL113" s="2">
        <v>0</v>
      </c>
      <c r="CM113" s="2">
        <v>0</v>
      </c>
      <c r="CN113" s="2">
        <v>1</v>
      </c>
      <c r="CP113" s="2"/>
    </row>
    <row r="114" spans="29:94" x14ac:dyDescent="0.25">
      <c r="AC114" s="19" t="s">
        <v>164</v>
      </c>
      <c r="AD114" s="2">
        <v>0</v>
      </c>
      <c r="AE114" s="2">
        <v>0</v>
      </c>
      <c r="AF114" s="2">
        <v>0</v>
      </c>
      <c r="AG114" s="2">
        <v>0</v>
      </c>
      <c r="AH114" s="2">
        <v>0</v>
      </c>
      <c r="AI114" s="2">
        <v>174</v>
      </c>
      <c r="AJ114" s="2">
        <v>24</v>
      </c>
      <c r="AK114" s="2">
        <v>6</v>
      </c>
      <c r="AL114" s="2">
        <v>6</v>
      </c>
      <c r="AM114" s="2">
        <v>60</v>
      </c>
      <c r="AN114" s="2">
        <v>42</v>
      </c>
      <c r="AO114" s="2">
        <v>0</v>
      </c>
      <c r="AP114" s="2">
        <v>0</v>
      </c>
      <c r="BZ114" s="2"/>
      <c r="CA114" s="19" t="s">
        <v>164</v>
      </c>
      <c r="CB114" s="2">
        <v>0</v>
      </c>
      <c r="CC114" s="2">
        <v>13</v>
      </c>
      <c r="CD114" s="2">
        <v>3</v>
      </c>
      <c r="CE114" s="2">
        <v>0</v>
      </c>
      <c r="CF114" s="2">
        <v>0</v>
      </c>
      <c r="CG114" s="2">
        <v>0</v>
      </c>
      <c r="CH114" s="2">
        <v>0</v>
      </c>
      <c r="CI114" s="2">
        <v>0</v>
      </c>
      <c r="CJ114" s="2">
        <v>0</v>
      </c>
      <c r="CK114" s="2">
        <v>36</v>
      </c>
      <c r="CL114" s="2">
        <v>0</v>
      </c>
      <c r="CM114" s="2">
        <v>1</v>
      </c>
      <c r="CN114" s="2">
        <v>1</v>
      </c>
      <c r="CP114" s="2"/>
    </row>
    <row r="115" spans="29:94" x14ac:dyDescent="0.25">
      <c r="AC115" s="19" t="s">
        <v>165</v>
      </c>
      <c r="AD115" s="2">
        <v>204</v>
      </c>
      <c r="AE115" s="2">
        <v>20</v>
      </c>
      <c r="AF115" s="2">
        <v>19</v>
      </c>
      <c r="AG115" s="2">
        <v>21</v>
      </c>
      <c r="AH115" s="2">
        <v>0</v>
      </c>
      <c r="AI115" s="2">
        <v>0</v>
      </c>
      <c r="AJ115" s="2">
        <v>0</v>
      </c>
      <c r="AK115" s="2">
        <v>0</v>
      </c>
      <c r="AL115" s="2">
        <v>0</v>
      </c>
      <c r="AM115" s="2">
        <v>18</v>
      </c>
      <c r="AN115" s="2">
        <v>0</v>
      </c>
      <c r="AO115" s="2">
        <v>0</v>
      </c>
      <c r="AP115" s="2">
        <v>0</v>
      </c>
      <c r="BZ115" s="2"/>
      <c r="CA115" s="19" t="s">
        <v>165</v>
      </c>
      <c r="CB115" s="2">
        <v>48</v>
      </c>
      <c r="CC115" s="2">
        <v>3</v>
      </c>
      <c r="CD115" s="2">
        <v>0</v>
      </c>
      <c r="CE115" s="2">
        <v>0</v>
      </c>
      <c r="CF115" s="2">
        <v>0</v>
      </c>
      <c r="CG115" s="2">
        <v>16</v>
      </c>
      <c r="CH115" s="2">
        <v>1</v>
      </c>
      <c r="CI115" s="2">
        <v>10</v>
      </c>
      <c r="CJ115" s="2">
        <v>0</v>
      </c>
      <c r="CK115" s="2">
        <v>0</v>
      </c>
      <c r="CL115" s="2">
        <v>0</v>
      </c>
      <c r="CM115" s="2">
        <v>0</v>
      </c>
      <c r="CN115" s="2">
        <v>0</v>
      </c>
      <c r="CP115" s="2"/>
    </row>
    <row r="116" spans="29:94" x14ac:dyDescent="0.25">
      <c r="AC116" s="19" t="s">
        <v>166</v>
      </c>
      <c r="AD116" s="2">
        <v>0</v>
      </c>
      <c r="AE116" s="2">
        <v>0</v>
      </c>
      <c r="AF116" s="2">
        <v>0</v>
      </c>
      <c r="AG116" s="2">
        <v>0</v>
      </c>
      <c r="AH116" s="2">
        <v>0</v>
      </c>
      <c r="AI116" s="2">
        <v>0</v>
      </c>
      <c r="AJ116" s="2">
        <v>0</v>
      </c>
      <c r="AK116" s="2">
        <v>0</v>
      </c>
      <c r="AL116" s="2">
        <v>0</v>
      </c>
      <c r="AM116" s="2">
        <v>0</v>
      </c>
      <c r="AN116" s="2">
        <v>0</v>
      </c>
      <c r="AO116" s="2">
        <v>0</v>
      </c>
      <c r="AP116" s="2">
        <v>0</v>
      </c>
      <c r="BZ116" s="2"/>
      <c r="CA116" s="19" t="s">
        <v>166</v>
      </c>
      <c r="CB116" s="2">
        <v>0</v>
      </c>
      <c r="CC116" s="2">
        <v>0</v>
      </c>
      <c r="CD116" s="2">
        <v>0</v>
      </c>
      <c r="CE116" s="2">
        <v>0</v>
      </c>
      <c r="CF116" s="2">
        <v>0</v>
      </c>
      <c r="CG116" s="2">
        <v>0</v>
      </c>
      <c r="CH116" s="2">
        <v>0</v>
      </c>
      <c r="CI116" s="2">
        <v>0</v>
      </c>
      <c r="CJ116" s="2">
        <v>0</v>
      </c>
      <c r="CK116" s="2">
        <v>0</v>
      </c>
      <c r="CL116" s="2">
        <v>0</v>
      </c>
      <c r="CM116" s="2">
        <v>0</v>
      </c>
      <c r="CN116" s="2">
        <v>0</v>
      </c>
      <c r="CP116" s="2"/>
    </row>
    <row r="117" spans="29:94" x14ac:dyDescent="0.25">
      <c r="AC117" s="19" t="s">
        <v>167</v>
      </c>
      <c r="AD117" s="2">
        <v>182</v>
      </c>
      <c r="AE117" s="2">
        <v>116</v>
      </c>
      <c r="AF117" s="2">
        <v>41</v>
      </c>
      <c r="AG117" s="2">
        <v>86</v>
      </c>
      <c r="AH117" s="2">
        <v>94</v>
      </c>
      <c r="AI117" s="2">
        <v>250</v>
      </c>
      <c r="AJ117" s="2">
        <v>68</v>
      </c>
      <c r="AK117" s="2">
        <v>21</v>
      </c>
      <c r="AL117" s="2">
        <v>40</v>
      </c>
      <c r="AM117" s="2">
        <v>30</v>
      </c>
      <c r="AN117" s="2">
        <v>50</v>
      </c>
      <c r="AO117" s="2">
        <v>36</v>
      </c>
      <c r="AP117" s="2">
        <v>0</v>
      </c>
      <c r="BZ117" s="2"/>
      <c r="CA117" s="19" t="s">
        <v>167</v>
      </c>
      <c r="CB117" s="2">
        <v>22</v>
      </c>
      <c r="CC117" s="2">
        <v>8</v>
      </c>
      <c r="CD117" s="2">
        <v>10</v>
      </c>
      <c r="CE117" s="2">
        <v>1</v>
      </c>
      <c r="CF117" s="2">
        <v>0</v>
      </c>
      <c r="CG117" s="2">
        <v>7</v>
      </c>
      <c r="CH117" s="2">
        <v>6</v>
      </c>
      <c r="CI117" s="2">
        <v>11</v>
      </c>
      <c r="CJ117" s="2">
        <v>15</v>
      </c>
      <c r="CK117" s="2">
        <v>39</v>
      </c>
      <c r="CL117" s="2">
        <v>2</v>
      </c>
      <c r="CM117" s="2">
        <v>3</v>
      </c>
      <c r="CN117" s="2">
        <v>3</v>
      </c>
      <c r="CP117" s="2"/>
    </row>
    <row r="118" spans="29:94" x14ac:dyDescent="0.25">
      <c r="AC118" s="19" t="s">
        <v>168</v>
      </c>
      <c r="AD118" s="2">
        <v>357</v>
      </c>
      <c r="AE118" s="2">
        <v>231</v>
      </c>
      <c r="AF118" s="2">
        <v>60</v>
      </c>
      <c r="AG118" s="2">
        <v>15</v>
      </c>
      <c r="AH118" s="2">
        <v>6</v>
      </c>
      <c r="AI118" s="2">
        <v>54</v>
      </c>
      <c r="AJ118" s="2">
        <v>96</v>
      </c>
      <c r="AK118" s="2">
        <v>306</v>
      </c>
      <c r="AL118" s="2">
        <v>100</v>
      </c>
      <c r="AM118" s="2">
        <v>0</v>
      </c>
      <c r="AN118" s="2">
        <v>0</v>
      </c>
      <c r="AO118" s="2">
        <v>6</v>
      </c>
      <c r="AP118" s="2">
        <v>0</v>
      </c>
      <c r="BZ118" s="2"/>
      <c r="CA118" s="19" t="s">
        <v>168</v>
      </c>
      <c r="CB118" s="2">
        <v>59</v>
      </c>
      <c r="CC118" s="2">
        <v>0</v>
      </c>
      <c r="CD118" s="2">
        <v>0</v>
      </c>
      <c r="CE118" s="2">
        <v>0</v>
      </c>
      <c r="CF118" s="2">
        <v>0</v>
      </c>
      <c r="CG118" s="2">
        <v>38</v>
      </c>
      <c r="CH118" s="2">
        <v>12</v>
      </c>
      <c r="CI118" s="2">
        <v>9</v>
      </c>
      <c r="CJ118" s="2">
        <v>3</v>
      </c>
      <c r="CK118" s="2">
        <v>4</v>
      </c>
      <c r="CL118" s="2">
        <v>7</v>
      </c>
      <c r="CM118" s="2">
        <v>50</v>
      </c>
      <c r="CN118" s="2">
        <v>20</v>
      </c>
      <c r="CP118" s="2"/>
    </row>
    <row r="119" spans="29:94" x14ac:dyDescent="0.25">
      <c r="AC119" s="19" t="s">
        <v>169</v>
      </c>
      <c r="AD119" s="2">
        <v>0</v>
      </c>
      <c r="AE119" s="2">
        <v>0</v>
      </c>
      <c r="AF119" s="2">
        <v>0</v>
      </c>
      <c r="AG119" s="2">
        <v>0</v>
      </c>
      <c r="AH119" s="2">
        <v>0</v>
      </c>
      <c r="AI119" s="2">
        <v>0</v>
      </c>
      <c r="AJ119" s="2">
        <v>12</v>
      </c>
      <c r="AK119" s="2">
        <v>18</v>
      </c>
      <c r="AL119" s="2">
        <v>10</v>
      </c>
      <c r="AM119" s="2">
        <v>0</v>
      </c>
      <c r="AN119" s="2">
        <v>12</v>
      </c>
      <c r="AO119" s="2">
        <v>44</v>
      </c>
      <c r="AP119" s="2">
        <v>12</v>
      </c>
      <c r="BZ119" s="2"/>
      <c r="CA119" s="19" t="s">
        <v>169</v>
      </c>
      <c r="CB119" s="2">
        <v>0</v>
      </c>
      <c r="CC119" s="2">
        <v>0</v>
      </c>
      <c r="CD119" s="2">
        <v>2</v>
      </c>
      <c r="CE119" s="2">
        <v>4</v>
      </c>
      <c r="CF119" s="2">
        <v>2</v>
      </c>
      <c r="CG119" s="2">
        <v>0</v>
      </c>
      <c r="CH119" s="2">
        <v>0</v>
      </c>
      <c r="CI119" s="2">
        <v>0</v>
      </c>
      <c r="CJ119" s="2">
        <v>0</v>
      </c>
      <c r="CK119" s="2">
        <v>0</v>
      </c>
      <c r="CL119" s="2">
        <v>0</v>
      </c>
      <c r="CM119" s="2">
        <v>3</v>
      </c>
      <c r="CN119" s="2">
        <v>3</v>
      </c>
      <c r="CP119" s="2"/>
    </row>
    <row r="120" spans="29:94" x14ac:dyDescent="0.25">
      <c r="AC120" s="19" t="s">
        <v>170</v>
      </c>
      <c r="AD120" s="2">
        <v>0</v>
      </c>
      <c r="AE120" s="2">
        <v>0</v>
      </c>
      <c r="AF120" s="2">
        <v>0</v>
      </c>
      <c r="AG120" s="2">
        <v>0</v>
      </c>
      <c r="AH120" s="2">
        <v>67</v>
      </c>
      <c r="AI120" s="2">
        <v>25</v>
      </c>
      <c r="AJ120" s="2">
        <v>47</v>
      </c>
      <c r="AK120" s="2">
        <v>0</v>
      </c>
      <c r="AL120" s="2">
        <v>0</v>
      </c>
      <c r="AM120" s="2">
        <v>0</v>
      </c>
      <c r="AN120" s="2">
        <v>0</v>
      </c>
      <c r="AO120" s="2">
        <v>0</v>
      </c>
      <c r="AP120" s="2">
        <v>12</v>
      </c>
      <c r="BZ120" s="2"/>
      <c r="CA120" s="19" t="s">
        <v>170</v>
      </c>
      <c r="CB120" s="2">
        <v>0</v>
      </c>
      <c r="CC120" s="2">
        <v>0</v>
      </c>
      <c r="CD120" s="2">
        <v>0</v>
      </c>
      <c r="CE120" s="2">
        <v>0</v>
      </c>
      <c r="CF120" s="2">
        <v>0</v>
      </c>
      <c r="CG120" s="2">
        <v>0</v>
      </c>
      <c r="CH120" s="2">
        <v>0</v>
      </c>
      <c r="CI120" s="2">
        <v>0</v>
      </c>
      <c r="CJ120" s="2">
        <v>0</v>
      </c>
      <c r="CK120" s="2">
        <v>0</v>
      </c>
      <c r="CL120" s="2">
        <v>1</v>
      </c>
      <c r="CM120" s="2">
        <v>0</v>
      </c>
      <c r="CN120" s="2">
        <v>0</v>
      </c>
      <c r="CP120" s="2"/>
    </row>
    <row r="121" spans="29:94" x14ac:dyDescent="0.25">
      <c r="AC121" s="19" t="s">
        <v>240</v>
      </c>
      <c r="AD121" s="2">
        <v>0</v>
      </c>
      <c r="AE121" s="2">
        <v>49</v>
      </c>
      <c r="AF121" s="2">
        <v>19</v>
      </c>
      <c r="AG121" s="2">
        <v>60</v>
      </c>
      <c r="AH121" s="2">
        <v>212</v>
      </c>
      <c r="AI121" s="2">
        <v>34</v>
      </c>
      <c r="AJ121" s="2">
        <v>153</v>
      </c>
      <c r="AK121" s="2">
        <v>59</v>
      </c>
      <c r="AL121" s="2">
        <v>7</v>
      </c>
      <c r="AM121" s="2">
        <v>387</v>
      </c>
      <c r="AN121" s="2">
        <v>245</v>
      </c>
      <c r="AO121" s="2">
        <v>313</v>
      </c>
      <c r="AP121" s="2">
        <v>708</v>
      </c>
      <c r="BZ121" s="2"/>
      <c r="CA121" s="19" t="s">
        <v>240</v>
      </c>
      <c r="CB121" s="2">
        <v>0</v>
      </c>
      <c r="CC121" s="2">
        <v>68</v>
      </c>
      <c r="CD121" s="2">
        <v>27</v>
      </c>
      <c r="CE121" s="2">
        <v>25</v>
      </c>
      <c r="CF121" s="2">
        <v>96</v>
      </c>
      <c r="CG121" s="2">
        <v>7</v>
      </c>
      <c r="CH121" s="2">
        <v>1</v>
      </c>
      <c r="CI121" s="2">
        <v>4</v>
      </c>
      <c r="CJ121" s="2">
        <v>9</v>
      </c>
      <c r="CK121" s="2">
        <v>2</v>
      </c>
      <c r="CL121" s="2">
        <v>23</v>
      </c>
      <c r="CM121" s="2">
        <v>24</v>
      </c>
      <c r="CN121" s="2">
        <v>0</v>
      </c>
      <c r="CP121" s="2"/>
    </row>
    <row r="122" spans="29:94" x14ac:dyDescent="0.25">
      <c r="AC122" s="19" t="s">
        <v>171</v>
      </c>
      <c r="AD122" s="2">
        <v>40</v>
      </c>
      <c r="AE122" s="2">
        <v>0</v>
      </c>
      <c r="AF122" s="2">
        <v>0</v>
      </c>
      <c r="AG122" s="2">
        <v>36</v>
      </c>
      <c r="AH122" s="2">
        <v>208</v>
      </c>
      <c r="AI122" s="2">
        <v>419</v>
      </c>
      <c r="AJ122" s="2">
        <v>255</v>
      </c>
      <c r="AK122" s="2">
        <v>219</v>
      </c>
      <c r="AL122" s="2">
        <v>58</v>
      </c>
      <c r="AM122" s="2">
        <v>24</v>
      </c>
      <c r="AN122" s="2">
        <v>228</v>
      </c>
      <c r="AO122" s="2">
        <v>23</v>
      </c>
      <c r="AP122" s="2">
        <v>138</v>
      </c>
      <c r="BZ122" s="2"/>
      <c r="CA122" s="19" t="s">
        <v>171</v>
      </c>
      <c r="CB122" s="2">
        <v>12</v>
      </c>
      <c r="CC122" s="2">
        <v>3</v>
      </c>
      <c r="CD122" s="2">
        <v>33</v>
      </c>
      <c r="CE122" s="2">
        <v>2</v>
      </c>
      <c r="CF122" s="2">
        <v>3</v>
      </c>
      <c r="CG122" s="2">
        <v>0</v>
      </c>
      <c r="CH122" s="2">
        <v>0</v>
      </c>
      <c r="CI122" s="2">
        <v>2</v>
      </c>
      <c r="CJ122" s="2">
        <v>17</v>
      </c>
      <c r="CK122" s="2">
        <v>72</v>
      </c>
      <c r="CL122" s="2">
        <v>37</v>
      </c>
      <c r="CM122" s="2">
        <v>41</v>
      </c>
      <c r="CN122" s="2">
        <v>26</v>
      </c>
      <c r="CP122" s="2"/>
    </row>
    <row r="123" spans="29:94" x14ac:dyDescent="0.25">
      <c r="AC123" s="19" t="s">
        <v>172</v>
      </c>
      <c r="AD123" s="2">
        <v>329</v>
      </c>
      <c r="AE123" s="2">
        <v>172</v>
      </c>
      <c r="AF123" s="2">
        <v>349</v>
      </c>
      <c r="AG123" s="2">
        <v>0</v>
      </c>
      <c r="AH123" s="2">
        <v>0</v>
      </c>
      <c r="AI123" s="2">
        <v>0</v>
      </c>
      <c r="AJ123" s="2">
        <v>0</v>
      </c>
      <c r="AK123" s="2">
        <v>0</v>
      </c>
      <c r="AL123" s="2">
        <v>0</v>
      </c>
      <c r="AM123" s="2">
        <v>0</v>
      </c>
      <c r="AN123" s="2">
        <v>0</v>
      </c>
      <c r="AO123" s="2">
        <v>0</v>
      </c>
      <c r="AP123" s="2">
        <v>0</v>
      </c>
      <c r="BZ123" s="2"/>
      <c r="CA123" s="19" t="s">
        <v>172</v>
      </c>
      <c r="CB123" s="2">
        <v>77</v>
      </c>
      <c r="CC123" s="2">
        <v>0</v>
      </c>
      <c r="CD123" s="2">
        <v>0</v>
      </c>
      <c r="CE123" s="2">
        <v>0</v>
      </c>
      <c r="CF123" s="2">
        <v>0</v>
      </c>
      <c r="CG123" s="2">
        <v>32</v>
      </c>
      <c r="CH123" s="2">
        <v>62</v>
      </c>
      <c r="CI123" s="2">
        <v>0</v>
      </c>
      <c r="CJ123" s="2">
        <v>0</v>
      </c>
      <c r="CK123" s="2">
        <v>0</v>
      </c>
      <c r="CL123" s="2">
        <v>0</v>
      </c>
      <c r="CM123" s="2">
        <v>0</v>
      </c>
      <c r="CN123" s="2">
        <v>0</v>
      </c>
      <c r="CP123" s="2"/>
    </row>
    <row r="124" spans="29:94" x14ac:dyDescent="0.25">
      <c r="AC124" s="19" t="s">
        <v>173</v>
      </c>
      <c r="AD124" s="2">
        <v>0</v>
      </c>
      <c r="AE124" s="2">
        <v>138</v>
      </c>
      <c r="AF124" s="2">
        <v>0</v>
      </c>
      <c r="AG124" s="2">
        <v>50</v>
      </c>
      <c r="AH124" s="2">
        <v>50</v>
      </c>
      <c r="AI124" s="2">
        <v>0</v>
      </c>
      <c r="AJ124" s="2">
        <v>0</v>
      </c>
      <c r="AK124" s="2">
        <v>497</v>
      </c>
      <c r="AL124" s="2">
        <v>75</v>
      </c>
      <c r="AM124" s="2">
        <v>0</v>
      </c>
      <c r="AN124" s="2">
        <v>0</v>
      </c>
      <c r="AO124" s="2">
        <v>0</v>
      </c>
      <c r="AP124" s="2">
        <v>0</v>
      </c>
      <c r="BZ124" s="2"/>
      <c r="CA124" s="19" t="s">
        <v>173</v>
      </c>
      <c r="CB124" s="2">
        <v>0</v>
      </c>
      <c r="CC124" s="2">
        <v>0</v>
      </c>
      <c r="CD124" s="2">
        <v>0</v>
      </c>
      <c r="CE124" s="2">
        <v>0</v>
      </c>
      <c r="CF124" s="2">
        <v>0</v>
      </c>
      <c r="CG124" s="2">
        <v>18</v>
      </c>
      <c r="CH124" s="2">
        <v>0</v>
      </c>
      <c r="CI124" s="2">
        <v>16</v>
      </c>
      <c r="CJ124" s="2">
        <v>6</v>
      </c>
      <c r="CK124" s="2">
        <v>0</v>
      </c>
      <c r="CL124" s="2">
        <v>0</v>
      </c>
      <c r="CM124" s="2">
        <v>106</v>
      </c>
      <c r="CN124" s="2">
        <v>26</v>
      </c>
      <c r="CP124" s="2"/>
    </row>
    <row r="125" spans="29:94" x14ac:dyDescent="0.25">
      <c r="AC125" s="19" t="s">
        <v>236</v>
      </c>
      <c r="AD125" s="2">
        <v>0</v>
      </c>
      <c r="AE125" s="2">
        <v>0</v>
      </c>
      <c r="AF125" s="2">
        <v>0</v>
      </c>
      <c r="AG125" s="2">
        <v>0</v>
      </c>
      <c r="AH125" s="2">
        <v>0</v>
      </c>
      <c r="AI125" s="2">
        <v>0</v>
      </c>
      <c r="AJ125" s="2">
        <v>0</v>
      </c>
      <c r="AK125" s="2">
        <v>0</v>
      </c>
      <c r="AL125" s="2">
        <v>0</v>
      </c>
      <c r="AM125" s="2">
        <v>0</v>
      </c>
      <c r="AN125" s="2">
        <v>0</v>
      </c>
      <c r="AO125" s="2">
        <v>0</v>
      </c>
      <c r="AP125" s="2">
        <v>0</v>
      </c>
      <c r="BZ125" s="2"/>
      <c r="CA125" s="19" t="s">
        <v>236</v>
      </c>
      <c r="CB125" s="2">
        <v>0</v>
      </c>
      <c r="CC125" s="2">
        <v>0</v>
      </c>
      <c r="CD125" s="2">
        <v>0</v>
      </c>
      <c r="CE125" s="2">
        <v>0</v>
      </c>
      <c r="CF125" s="2">
        <v>0</v>
      </c>
      <c r="CG125" s="2">
        <v>0</v>
      </c>
      <c r="CH125" s="2">
        <v>0</v>
      </c>
      <c r="CI125" s="2">
        <v>0</v>
      </c>
      <c r="CJ125" s="2">
        <v>0</v>
      </c>
      <c r="CK125" s="2">
        <v>0</v>
      </c>
      <c r="CL125" s="2">
        <v>0</v>
      </c>
      <c r="CM125" s="2">
        <v>0</v>
      </c>
      <c r="CN125" s="2">
        <v>0</v>
      </c>
      <c r="CP125" s="2"/>
    </row>
    <row r="126" spans="29:94" x14ac:dyDescent="0.25">
      <c r="AC126" s="19" t="s">
        <v>174</v>
      </c>
      <c r="AD126" s="2">
        <v>132</v>
      </c>
      <c r="AE126" s="2">
        <v>250</v>
      </c>
      <c r="AF126" s="2">
        <v>88</v>
      </c>
      <c r="AG126" s="2">
        <v>18</v>
      </c>
      <c r="AH126" s="2">
        <v>122</v>
      </c>
      <c r="AI126" s="2">
        <v>246</v>
      </c>
      <c r="AJ126" s="2">
        <v>30</v>
      </c>
      <c r="AK126" s="2">
        <v>0</v>
      </c>
      <c r="AL126" s="2">
        <v>74</v>
      </c>
      <c r="AM126" s="2">
        <v>104</v>
      </c>
      <c r="AN126" s="2">
        <v>251</v>
      </c>
      <c r="AO126" s="2">
        <v>182</v>
      </c>
      <c r="AP126" s="2">
        <v>84</v>
      </c>
      <c r="BZ126" s="2"/>
      <c r="CA126" s="19" t="s">
        <v>174</v>
      </c>
      <c r="CB126" s="2">
        <v>5</v>
      </c>
      <c r="CC126" s="2">
        <v>12</v>
      </c>
      <c r="CD126" s="2">
        <v>33</v>
      </c>
      <c r="CE126" s="2">
        <v>17</v>
      </c>
      <c r="CF126" s="2">
        <v>7</v>
      </c>
      <c r="CG126" s="2">
        <v>32</v>
      </c>
      <c r="CH126" s="2">
        <v>16</v>
      </c>
      <c r="CI126" s="2">
        <v>0</v>
      </c>
      <c r="CJ126" s="2">
        <v>6</v>
      </c>
      <c r="CK126" s="2">
        <v>26</v>
      </c>
      <c r="CL126" s="2">
        <v>3</v>
      </c>
      <c r="CM126" s="2">
        <v>0</v>
      </c>
      <c r="CN126" s="2">
        <v>12</v>
      </c>
      <c r="CP126" s="2"/>
    </row>
    <row r="127" spans="29:94" x14ac:dyDescent="0.25">
      <c r="AC127" s="19" t="s">
        <v>175</v>
      </c>
      <c r="AD127" s="2">
        <v>22</v>
      </c>
      <c r="AE127" s="2">
        <v>49</v>
      </c>
      <c r="AF127" s="2">
        <v>40</v>
      </c>
      <c r="AG127" s="2">
        <v>0</v>
      </c>
      <c r="AH127" s="2">
        <v>7</v>
      </c>
      <c r="AI127" s="2">
        <v>7</v>
      </c>
      <c r="AJ127" s="2">
        <v>0</v>
      </c>
      <c r="AK127" s="2">
        <v>0</v>
      </c>
      <c r="AL127" s="2">
        <v>0</v>
      </c>
      <c r="AM127" s="2">
        <v>0</v>
      </c>
      <c r="AN127" s="2">
        <v>0</v>
      </c>
      <c r="AO127" s="2">
        <v>0</v>
      </c>
      <c r="AP127" s="2">
        <v>7</v>
      </c>
      <c r="BZ127" s="2"/>
      <c r="CA127" s="19" t="s">
        <v>175</v>
      </c>
      <c r="CB127" s="2">
        <v>11</v>
      </c>
      <c r="CC127" s="2">
        <v>0</v>
      </c>
      <c r="CD127" s="2">
        <v>0</v>
      </c>
      <c r="CE127" s="2">
        <v>0</v>
      </c>
      <c r="CF127" s="2">
        <v>3</v>
      </c>
      <c r="CG127" s="2">
        <v>18</v>
      </c>
      <c r="CH127" s="2">
        <v>20</v>
      </c>
      <c r="CI127" s="2">
        <v>0</v>
      </c>
      <c r="CJ127" s="2">
        <v>4</v>
      </c>
      <c r="CK127" s="2">
        <v>4</v>
      </c>
      <c r="CL127" s="2">
        <v>0</v>
      </c>
      <c r="CM127" s="2">
        <v>0</v>
      </c>
      <c r="CN127" s="2">
        <v>0</v>
      </c>
      <c r="CP127" s="2"/>
    </row>
    <row r="128" spans="29:94" x14ac:dyDescent="0.25">
      <c r="AC128" s="19" t="s">
        <v>176</v>
      </c>
      <c r="AD128" s="2">
        <v>3</v>
      </c>
      <c r="AE128" s="2">
        <v>0</v>
      </c>
      <c r="AF128" s="2">
        <v>6</v>
      </c>
      <c r="AG128" s="2">
        <v>1</v>
      </c>
      <c r="AH128" s="2">
        <v>0</v>
      </c>
      <c r="AI128" s="2">
        <v>0</v>
      </c>
      <c r="AJ128" s="2">
        <v>0</v>
      </c>
      <c r="AK128" s="2">
        <v>0</v>
      </c>
      <c r="AL128" s="2">
        <v>0</v>
      </c>
      <c r="AM128" s="2">
        <v>0</v>
      </c>
      <c r="AN128" s="2">
        <v>0</v>
      </c>
      <c r="AO128" s="2">
        <v>0</v>
      </c>
      <c r="AP128" s="2">
        <v>6</v>
      </c>
      <c r="BZ128" s="2"/>
      <c r="CA128" s="19" t="s">
        <v>176</v>
      </c>
      <c r="CB128" s="2">
        <v>1</v>
      </c>
      <c r="CC128" s="2">
        <v>0</v>
      </c>
      <c r="CD128" s="2">
        <v>0</v>
      </c>
      <c r="CE128" s="2">
        <v>0</v>
      </c>
      <c r="CF128" s="2">
        <v>3</v>
      </c>
      <c r="CG128" s="2">
        <v>0</v>
      </c>
      <c r="CH128" s="2">
        <v>2</v>
      </c>
      <c r="CI128" s="2">
        <v>0</v>
      </c>
      <c r="CJ128" s="2">
        <v>0</v>
      </c>
      <c r="CK128" s="2">
        <v>0</v>
      </c>
      <c r="CL128" s="2">
        <v>0</v>
      </c>
      <c r="CM128" s="2">
        <v>0</v>
      </c>
      <c r="CN128" s="2">
        <v>0</v>
      </c>
      <c r="CP128" s="2"/>
    </row>
    <row r="129" spans="29:94" x14ac:dyDescent="0.25">
      <c r="AC129" s="19" t="s">
        <v>177</v>
      </c>
      <c r="AD129" s="2">
        <v>0</v>
      </c>
      <c r="AE129" s="2">
        <v>0</v>
      </c>
      <c r="AF129" s="2">
        <v>0</v>
      </c>
      <c r="AG129" s="2">
        <v>0</v>
      </c>
      <c r="AH129" s="2">
        <v>138</v>
      </c>
      <c r="AI129" s="2">
        <v>4</v>
      </c>
      <c r="AJ129" s="2">
        <v>1</v>
      </c>
      <c r="AK129" s="2">
        <v>0</v>
      </c>
      <c r="AL129" s="2">
        <v>0</v>
      </c>
      <c r="AM129" s="2">
        <v>0</v>
      </c>
      <c r="AN129" s="2">
        <v>0</v>
      </c>
      <c r="AO129" s="2">
        <v>0</v>
      </c>
      <c r="AP129" s="2">
        <v>0</v>
      </c>
      <c r="BZ129" s="2"/>
      <c r="CA129" s="19" t="s">
        <v>177</v>
      </c>
      <c r="CB129" s="2">
        <v>0</v>
      </c>
      <c r="CC129" s="2">
        <v>0</v>
      </c>
      <c r="CD129" s="2">
        <v>0</v>
      </c>
      <c r="CE129" s="2">
        <v>0</v>
      </c>
      <c r="CF129" s="2">
        <v>0</v>
      </c>
      <c r="CG129" s="2">
        <v>0</v>
      </c>
      <c r="CH129" s="2">
        <v>0</v>
      </c>
      <c r="CI129" s="2">
        <v>0</v>
      </c>
      <c r="CJ129" s="2">
        <v>22</v>
      </c>
      <c r="CK129" s="2">
        <v>4</v>
      </c>
      <c r="CL129" s="2">
        <v>1</v>
      </c>
      <c r="CM129" s="2">
        <v>0</v>
      </c>
      <c r="CN129" s="2">
        <v>0</v>
      </c>
      <c r="CP129" s="2"/>
    </row>
    <row r="130" spans="29:94" x14ac:dyDescent="0.25">
      <c r="AC130" s="19" t="s">
        <v>178</v>
      </c>
      <c r="AD130" s="2">
        <v>21</v>
      </c>
      <c r="AE130" s="2">
        <v>0</v>
      </c>
      <c r="AF130" s="2">
        <v>0</v>
      </c>
      <c r="AG130" s="2">
        <v>4</v>
      </c>
      <c r="AH130" s="2">
        <v>12</v>
      </c>
      <c r="AI130" s="2">
        <v>8</v>
      </c>
      <c r="AJ130" s="2">
        <v>0</v>
      </c>
      <c r="AK130" s="2">
        <v>12</v>
      </c>
      <c r="AL130" s="2">
        <v>12</v>
      </c>
      <c r="AM130" s="2">
        <v>3</v>
      </c>
      <c r="AN130" s="2">
        <v>0</v>
      </c>
      <c r="AO130" s="2">
        <v>15</v>
      </c>
      <c r="AP130" s="2">
        <v>205</v>
      </c>
      <c r="BZ130" s="2"/>
      <c r="CA130" s="19" t="s">
        <v>178</v>
      </c>
      <c r="CB130" s="2">
        <v>3</v>
      </c>
      <c r="CC130" s="2">
        <v>2</v>
      </c>
      <c r="CD130" s="2">
        <v>0</v>
      </c>
      <c r="CE130" s="2">
        <v>8</v>
      </c>
      <c r="CF130" s="2">
        <v>49</v>
      </c>
      <c r="CG130" s="2">
        <v>0</v>
      </c>
      <c r="CH130" s="2">
        <v>0</v>
      </c>
      <c r="CI130" s="2">
        <v>0</v>
      </c>
      <c r="CJ130" s="2">
        <v>2</v>
      </c>
      <c r="CK130" s="2">
        <v>0</v>
      </c>
      <c r="CL130" s="2">
        <v>0</v>
      </c>
      <c r="CM130" s="2">
        <v>8</v>
      </c>
      <c r="CN130" s="2">
        <v>10</v>
      </c>
      <c r="CP130" s="2"/>
    </row>
    <row r="131" spans="29:94" x14ac:dyDescent="0.25">
      <c r="AC131" s="19" t="s">
        <v>179</v>
      </c>
      <c r="AD131" s="2">
        <v>40</v>
      </c>
      <c r="AE131" s="2">
        <v>60</v>
      </c>
      <c r="AF131" s="2">
        <v>12</v>
      </c>
      <c r="AG131" s="2">
        <v>0</v>
      </c>
      <c r="AH131" s="2">
        <v>96</v>
      </c>
      <c r="AI131" s="2">
        <v>54</v>
      </c>
      <c r="AJ131" s="2">
        <v>24</v>
      </c>
      <c r="AK131" s="2">
        <v>36</v>
      </c>
      <c r="AL131" s="2">
        <v>40</v>
      </c>
      <c r="AM131" s="2">
        <v>20</v>
      </c>
      <c r="AN131" s="2">
        <v>0</v>
      </c>
      <c r="AO131" s="2">
        <v>0</v>
      </c>
      <c r="AP131" s="2">
        <v>0</v>
      </c>
      <c r="BZ131" s="2"/>
      <c r="CA131" s="19" t="s">
        <v>179</v>
      </c>
      <c r="CB131" s="2">
        <v>0</v>
      </c>
      <c r="CC131" s="2">
        <v>12</v>
      </c>
      <c r="CD131" s="2">
        <v>0</v>
      </c>
      <c r="CE131" s="2">
        <v>0</v>
      </c>
      <c r="CF131" s="2">
        <v>0</v>
      </c>
      <c r="CG131" s="2">
        <v>3</v>
      </c>
      <c r="CH131" s="2">
        <v>0</v>
      </c>
      <c r="CI131" s="2">
        <v>0</v>
      </c>
      <c r="CJ131" s="2">
        <v>11</v>
      </c>
      <c r="CK131" s="2">
        <v>8</v>
      </c>
      <c r="CL131" s="2">
        <v>4</v>
      </c>
      <c r="CM131" s="2">
        <v>1</v>
      </c>
      <c r="CN131" s="2">
        <v>2</v>
      </c>
      <c r="CP131" s="2"/>
    </row>
    <row r="132" spans="29:94" x14ac:dyDescent="0.25">
      <c r="AC132" s="19" t="s">
        <v>180</v>
      </c>
      <c r="AD132" s="2">
        <v>0</v>
      </c>
      <c r="AE132" s="2">
        <v>0</v>
      </c>
      <c r="AF132" s="2">
        <v>0</v>
      </c>
      <c r="AG132" s="2">
        <v>0</v>
      </c>
      <c r="AH132" s="2">
        <v>0</v>
      </c>
      <c r="AI132" s="2">
        <v>0</v>
      </c>
      <c r="AJ132" s="2">
        <v>0</v>
      </c>
      <c r="AK132" s="2">
        <v>0</v>
      </c>
      <c r="AL132" s="2">
        <v>0</v>
      </c>
      <c r="AM132" s="2">
        <v>0</v>
      </c>
      <c r="AN132" s="2">
        <v>0</v>
      </c>
      <c r="AO132" s="2">
        <v>0</v>
      </c>
      <c r="AP132" s="2">
        <v>0</v>
      </c>
      <c r="BZ132" s="2"/>
      <c r="CA132" s="19" t="s">
        <v>180</v>
      </c>
      <c r="CB132" s="2">
        <v>0</v>
      </c>
      <c r="CC132" s="2">
        <v>0</v>
      </c>
      <c r="CD132" s="2">
        <v>0</v>
      </c>
      <c r="CE132" s="2">
        <v>0</v>
      </c>
      <c r="CF132" s="2">
        <v>0</v>
      </c>
      <c r="CG132" s="2">
        <v>0</v>
      </c>
      <c r="CH132" s="2">
        <v>0</v>
      </c>
      <c r="CI132" s="2">
        <v>0</v>
      </c>
      <c r="CJ132" s="2">
        <v>0</v>
      </c>
      <c r="CK132" s="2">
        <v>0</v>
      </c>
      <c r="CL132" s="2">
        <v>0</v>
      </c>
      <c r="CM132" s="2">
        <v>0</v>
      </c>
      <c r="CN132" s="2">
        <v>0</v>
      </c>
      <c r="CP132" s="2"/>
    </row>
    <row r="133" spans="29:94" x14ac:dyDescent="0.25">
      <c r="AC133" s="19" t="s">
        <v>181</v>
      </c>
      <c r="AD133" s="2">
        <v>680</v>
      </c>
      <c r="AE133" s="2">
        <v>631</v>
      </c>
      <c r="AF133" s="2">
        <v>942</v>
      </c>
      <c r="AG133" s="2">
        <v>607</v>
      </c>
      <c r="AH133" s="2">
        <v>177</v>
      </c>
      <c r="AI133" s="2">
        <v>6</v>
      </c>
      <c r="AJ133" s="2">
        <v>12</v>
      </c>
      <c r="AK133" s="2">
        <v>30</v>
      </c>
      <c r="AL133" s="2">
        <v>30</v>
      </c>
      <c r="AM133" s="2">
        <v>12</v>
      </c>
      <c r="AN133" s="2">
        <v>0</v>
      </c>
      <c r="AO133" s="2">
        <v>36</v>
      </c>
      <c r="AP133" s="2">
        <v>12</v>
      </c>
      <c r="BZ133" s="2"/>
      <c r="CA133" s="19" t="s">
        <v>181</v>
      </c>
      <c r="CB133" s="2">
        <v>71</v>
      </c>
      <c r="CC133" s="2">
        <v>3</v>
      </c>
      <c r="CD133" s="2">
        <v>0</v>
      </c>
      <c r="CE133" s="2">
        <v>5</v>
      </c>
      <c r="CF133" s="2">
        <v>4</v>
      </c>
      <c r="CG133" s="2">
        <v>58</v>
      </c>
      <c r="CH133" s="2">
        <v>87</v>
      </c>
      <c r="CI133" s="2">
        <v>131</v>
      </c>
      <c r="CJ133" s="2">
        <v>13</v>
      </c>
      <c r="CK133" s="2">
        <v>0</v>
      </c>
      <c r="CL133" s="2">
        <v>3</v>
      </c>
      <c r="CM133" s="2">
        <v>6</v>
      </c>
      <c r="CN133" s="2">
        <v>5</v>
      </c>
      <c r="CP133" s="2"/>
    </row>
    <row r="134" spans="29:94" x14ac:dyDescent="0.25">
      <c r="AC134" s="19" t="s">
        <v>182</v>
      </c>
      <c r="AD134" s="2">
        <v>88</v>
      </c>
      <c r="AE134" s="2">
        <v>10</v>
      </c>
      <c r="AF134" s="2">
        <v>17</v>
      </c>
      <c r="AG134" s="2">
        <v>8</v>
      </c>
      <c r="AH134" s="2">
        <v>8</v>
      </c>
      <c r="AI134" s="2">
        <v>6</v>
      </c>
      <c r="AJ134" s="2">
        <v>19</v>
      </c>
      <c r="AK134" s="2">
        <v>55</v>
      </c>
      <c r="AL134" s="2">
        <v>14</v>
      </c>
      <c r="AM134" s="2">
        <v>4</v>
      </c>
      <c r="AN134" s="2">
        <v>26</v>
      </c>
      <c r="AO134" s="2">
        <v>4</v>
      </c>
      <c r="AP134" s="2">
        <v>30</v>
      </c>
      <c r="BZ134" s="2"/>
      <c r="CA134" s="19" t="s">
        <v>182</v>
      </c>
      <c r="CB134" s="2">
        <v>7</v>
      </c>
      <c r="CC134" s="2">
        <v>0</v>
      </c>
      <c r="CD134" s="2">
        <v>2</v>
      </c>
      <c r="CE134" s="2">
        <v>0</v>
      </c>
      <c r="CF134" s="2">
        <v>4</v>
      </c>
      <c r="CG134" s="2">
        <v>0</v>
      </c>
      <c r="CH134" s="2">
        <v>1</v>
      </c>
      <c r="CI134" s="2">
        <v>0</v>
      </c>
      <c r="CJ134" s="2">
        <v>0</v>
      </c>
      <c r="CK134" s="2">
        <v>0</v>
      </c>
      <c r="CL134" s="2">
        <v>1</v>
      </c>
      <c r="CM134" s="2">
        <v>5</v>
      </c>
      <c r="CN134" s="2">
        <v>0</v>
      </c>
      <c r="CP134" s="2"/>
    </row>
    <row r="135" spans="29:94" x14ac:dyDescent="0.25">
      <c r="AC135" s="19" t="s">
        <v>183</v>
      </c>
      <c r="AD135" s="2">
        <v>0</v>
      </c>
      <c r="AE135" s="2">
        <v>0</v>
      </c>
      <c r="AF135" s="2">
        <v>0</v>
      </c>
      <c r="AG135" s="2">
        <v>11</v>
      </c>
      <c r="AH135" s="2">
        <v>0</v>
      </c>
      <c r="AI135" s="2">
        <v>0</v>
      </c>
      <c r="AJ135" s="2">
        <v>0</v>
      </c>
      <c r="AK135" s="2">
        <v>0</v>
      </c>
      <c r="AL135" s="2">
        <v>0</v>
      </c>
      <c r="AM135" s="2">
        <v>0</v>
      </c>
      <c r="AN135" s="2">
        <v>0</v>
      </c>
      <c r="AO135" s="2">
        <v>0</v>
      </c>
      <c r="AP135" s="2">
        <v>0</v>
      </c>
      <c r="BZ135" s="2"/>
      <c r="CA135" s="19" t="s">
        <v>183</v>
      </c>
      <c r="CB135" s="2">
        <v>0</v>
      </c>
      <c r="CC135" s="2">
        <v>0</v>
      </c>
      <c r="CD135" s="2">
        <v>0</v>
      </c>
      <c r="CE135" s="2">
        <v>0</v>
      </c>
      <c r="CF135" s="2">
        <v>0</v>
      </c>
      <c r="CG135" s="2">
        <v>0</v>
      </c>
      <c r="CH135" s="2">
        <v>0</v>
      </c>
      <c r="CI135" s="2">
        <v>0</v>
      </c>
      <c r="CJ135" s="2">
        <v>0</v>
      </c>
      <c r="CK135" s="2">
        <v>0</v>
      </c>
      <c r="CL135" s="2">
        <v>0</v>
      </c>
      <c r="CM135" s="2">
        <v>0</v>
      </c>
      <c r="CN135" s="2">
        <v>0</v>
      </c>
      <c r="CP135" s="2"/>
    </row>
    <row r="136" spans="29:94" x14ac:dyDescent="0.25">
      <c r="AC136" s="19" t="s">
        <v>184</v>
      </c>
      <c r="AD136" s="2">
        <v>0</v>
      </c>
      <c r="AE136" s="2">
        <v>0</v>
      </c>
      <c r="AF136" s="2">
        <v>0</v>
      </c>
      <c r="AG136" s="2">
        <v>0</v>
      </c>
      <c r="AH136" s="2">
        <v>0</v>
      </c>
      <c r="AI136" s="2">
        <v>0</v>
      </c>
      <c r="AJ136" s="2">
        <v>0</v>
      </c>
      <c r="AK136" s="2">
        <v>0</v>
      </c>
      <c r="AL136" s="2">
        <v>0</v>
      </c>
      <c r="AM136" s="2">
        <v>0</v>
      </c>
      <c r="AN136" s="2">
        <v>0</v>
      </c>
      <c r="AO136" s="2">
        <v>0</v>
      </c>
      <c r="AP136" s="2">
        <v>0</v>
      </c>
      <c r="BZ136" s="2"/>
      <c r="CA136" s="19" t="s">
        <v>184</v>
      </c>
      <c r="CB136" s="2">
        <v>0</v>
      </c>
      <c r="CC136" s="2">
        <v>0</v>
      </c>
      <c r="CD136" s="2">
        <v>0</v>
      </c>
      <c r="CE136" s="2">
        <v>0</v>
      </c>
      <c r="CF136" s="2">
        <v>0</v>
      </c>
      <c r="CG136" s="2">
        <v>0</v>
      </c>
      <c r="CH136" s="2">
        <v>0</v>
      </c>
      <c r="CI136" s="2">
        <v>0</v>
      </c>
      <c r="CJ136" s="2">
        <v>0</v>
      </c>
      <c r="CK136" s="2">
        <v>0</v>
      </c>
      <c r="CL136" s="2">
        <v>0</v>
      </c>
      <c r="CM136" s="2">
        <v>0</v>
      </c>
      <c r="CN136" s="2">
        <v>0</v>
      </c>
      <c r="CP136" s="2"/>
    </row>
    <row r="137" spans="29:94" x14ac:dyDescent="0.25">
      <c r="AC137" s="19" t="s">
        <v>185</v>
      </c>
      <c r="AD137" s="2">
        <v>0</v>
      </c>
      <c r="AE137" s="2">
        <v>103</v>
      </c>
      <c r="AF137" s="2">
        <v>0</v>
      </c>
      <c r="AG137" s="2">
        <v>0</v>
      </c>
      <c r="AH137" s="2">
        <v>0</v>
      </c>
      <c r="AI137" s="2">
        <v>0</v>
      </c>
      <c r="AJ137" s="2">
        <v>8</v>
      </c>
      <c r="AK137" s="2">
        <v>0</v>
      </c>
      <c r="AL137" s="2">
        <v>0</v>
      </c>
      <c r="AM137" s="2">
        <v>0</v>
      </c>
      <c r="AN137" s="2">
        <v>31</v>
      </c>
      <c r="AO137" s="2">
        <v>18</v>
      </c>
      <c r="AP137" s="2">
        <v>0</v>
      </c>
      <c r="BZ137" s="2"/>
      <c r="CA137" s="19" t="s">
        <v>185</v>
      </c>
      <c r="CB137" s="2">
        <v>0</v>
      </c>
      <c r="CC137" s="2">
        <v>0</v>
      </c>
      <c r="CD137" s="2">
        <v>31</v>
      </c>
      <c r="CE137" s="2">
        <v>18</v>
      </c>
      <c r="CF137" s="2">
        <v>0</v>
      </c>
      <c r="CG137" s="2">
        <v>12</v>
      </c>
      <c r="CH137" s="2">
        <v>0</v>
      </c>
      <c r="CI137" s="2">
        <v>0</v>
      </c>
      <c r="CJ137" s="2">
        <v>0</v>
      </c>
      <c r="CK137" s="2">
        <v>0</v>
      </c>
      <c r="CL137" s="2">
        <v>8</v>
      </c>
      <c r="CM137" s="2">
        <v>0</v>
      </c>
      <c r="CN137" s="2">
        <v>0</v>
      </c>
      <c r="CP137" s="2"/>
    </row>
    <row r="138" spans="29:94" x14ac:dyDescent="0.25">
      <c r="AC138" s="19" t="s">
        <v>186</v>
      </c>
      <c r="AD138" s="2">
        <v>24</v>
      </c>
      <c r="AE138" s="2">
        <v>37</v>
      </c>
      <c r="AF138" s="2">
        <v>184</v>
      </c>
      <c r="AG138" s="2">
        <v>39</v>
      </c>
      <c r="AH138" s="2">
        <v>12</v>
      </c>
      <c r="AI138" s="2">
        <v>24</v>
      </c>
      <c r="AJ138" s="2">
        <v>17</v>
      </c>
      <c r="AK138" s="2">
        <v>17</v>
      </c>
      <c r="AL138" s="2">
        <v>63</v>
      </c>
      <c r="AM138" s="2">
        <v>5</v>
      </c>
      <c r="AN138" s="2">
        <v>0</v>
      </c>
      <c r="AO138" s="2">
        <v>172</v>
      </c>
      <c r="AP138" s="2">
        <v>36</v>
      </c>
      <c r="BZ138" s="2"/>
      <c r="CA138" s="19" t="s">
        <v>186</v>
      </c>
      <c r="CB138" s="2">
        <v>5</v>
      </c>
      <c r="CC138" s="2">
        <v>1</v>
      </c>
      <c r="CD138" s="2">
        <v>0</v>
      </c>
      <c r="CE138" s="2">
        <v>39</v>
      </c>
      <c r="CF138" s="2">
        <v>12</v>
      </c>
      <c r="CG138" s="2">
        <v>5</v>
      </c>
      <c r="CH138" s="2">
        <v>35</v>
      </c>
      <c r="CI138" s="2">
        <v>14</v>
      </c>
      <c r="CJ138" s="2">
        <v>0</v>
      </c>
      <c r="CK138" s="2">
        <v>1</v>
      </c>
      <c r="CL138" s="2">
        <v>4</v>
      </c>
      <c r="CM138" s="2">
        <v>1</v>
      </c>
      <c r="CN138" s="2">
        <v>8</v>
      </c>
      <c r="CP138" s="2"/>
    </row>
    <row r="139" spans="29:94" x14ac:dyDescent="0.25">
      <c r="BZ139" s="2"/>
      <c r="CP139" s="2"/>
    </row>
    <row r="140" spans="29:94" x14ac:dyDescent="0.25">
      <c r="BZ140" s="2"/>
      <c r="CP140" s="2"/>
    </row>
    <row r="141" spans="29:94" x14ac:dyDescent="0.25">
      <c r="BZ141" s="2"/>
      <c r="CP141" s="2"/>
    </row>
    <row r="142" spans="29:94" x14ac:dyDescent="0.25">
      <c r="AC142" s="27" t="s">
        <v>44</v>
      </c>
      <c r="AD142" s="27" t="s">
        <v>45</v>
      </c>
      <c r="AE142" s="27" t="s">
        <v>46</v>
      </c>
      <c r="AF142" s="27" t="s">
        <v>47</v>
      </c>
      <c r="AG142" s="27" t="s">
        <v>48</v>
      </c>
      <c r="AH142" s="27" t="s">
        <v>49</v>
      </c>
      <c r="AI142" s="27" t="s">
        <v>50</v>
      </c>
      <c r="AJ142" s="27" t="s">
        <v>51</v>
      </c>
      <c r="AK142" s="27" t="s">
        <v>52</v>
      </c>
      <c r="AL142" s="27" t="s">
        <v>53</v>
      </c>
      <c r="AM142" s="27" t="s">
        <v>54</v>
      </c>
      <c r="AN142" s="27" t="s">
        <v>55</v>
      </c>
      <c r="AO142" s="27" t="s">
        <v>56</v>
      </c>
      <c r="AP142" s="27" t="s">
        <v>57</v>
      </c>
      <c r="BZ142" s="2"/>
      <c r="CP142" s="2"/>
    </row>
    <row r="143" spans="29:94" x14ac:dyDescent="0.25">
      <c r="AC143" s="42">
        <f>IF((COUNTIF(AD7:AD140,"&gt;0"))=0,"",(COUNTIF(AD7:AD140,"&gt;0")))</f>
        <v>55</v>
      </c>
      <c r="AD143" s="42">
        <f>IF((COUNTIF(AE7:AE140,"&gt;0"))=0,"",(COUNTIF(AE7:AE140,"&gt;0")))</f>
        <v>55</v>
      </c>
      <c r="AE143" s="42">
        <f>IF((COUNTIF(AF7:AF140,"&gt;0"))=0,"",(COUNTIF(AF7:AF140,"&gt;0")))</f>
        <v>53</v>
      </c>
      <c r="AF143" s="42">
        <f t="shared" ref="AF143:AG143" si="18">IF((COUNTIF(AG7:AG140,"&gt;0"))=0,"",(COUNTIF(AG7:AG140,"&gt;0")))</f>
        <v>50</v>
      </c>
      <c r="AG143" s="42">
        <f t="shared" si="18"/>
        <v>53</v>
      </c>
      <c r="AH143" s="101">
        <f>IF((COUNTIF(AI7:AI140,"&gt;0"))=0,"",(COUNTIF(AI7:AI140,"&gt;0")))</f>
        <v>55</v>
      </c>
      <c r="AI143" s="101">
        <f t="shared" ref="AI143:AO143" si="19">IF((COUNTIF(AJ7:AJ140,"&gt;0"))=0,"",(COUNTIF(AJ7:AJ140,"&gt;0")))</f>
        <v>53</v>
      </c>
      <c r="AJ143" s="101">
        <f t="shared" si="19"/>
        <v>52</v>
      </c>
      <c r="AK143" s="101">
        <f t="shared" si="19"/>
        <v>54</v>
      </c>
      <c r="AL143" s="101">
        <f t="shared" si="19"/>
        <v>45</v>
      </c>
      <c r="AM143" s="101">
        <f t="shared" si="19"/>
        <v>43</v>
      </c>
      <c r="AN143" s="101">
        <f t="shared" si="19"/>
        <v>48</v>
      </c>
      <c r="AO143" s="101">
        <f t="shared" si="19"/>
        <v>47</v>
      </c>
      <c r="AP143" s="42" t="str">
        <f>IF((COUNTIF(AQ7:AQ140,"&gt;0"))=0,"",(COUNTIF(AQ7:AQ140,"&gt;0")))</f>
        <v/>
      </c>
      <c r="BZ143" s="2"/>
      <c r="CA143" s="27" t="s">
        <v>44</v>
      </c>
      <c r="CB143" s="27" t="s">
        <v>45</v>
      </c>
      <c r="CC143" s="27" t="s">
        <v>46</v>
      </c>
      <c r="CD143" s="27" t="s">
        <v>47</v>
      </c>
      <c r="CE143" s="27" t="s">
        <v>48</v>
      </c>
      <c r="CF143" s="27" t="s">
        <v>49</v>
      </c>
      <c r="CG143" s="27" t="s">
        <v>50</v>
      </c>
      <c r="CH143" s="27" t="s">
        <v>51</v>
      </c>
      <c r="CI143" s="27" t="s">
        <v>52</v>
      </c>
      <c r="CJ143" s="27" t="s">
        <v>53</v>
      </c>
      <c r="CK143" s="27" t="s">
        <v>54</v>
      </c>
      <c r="CL143" s="27" t="s">
        <v>55</v>
      </c>
      <c r="CM143" s="27" t="s">
        <v>56</v>
      </c>
      <c r="CN143" s="27" t="s">
        <v>57</v>
      </c>
      <c r="CP143" s="2"/>
    </row>
    <row r="144" spans="29:94" x14ac:dyDescent="0.25">
      <c r="BZ144" s="2"/>
      <c r="CA144" s="42">
        <f>IF((COUNTIF(CB7:CB140,"&gt;0"))=0,"",(COUNTIF(CB7:CB140,"&gt;0")))</f>
        <v>47</v>
      </c>
      <c r="CB144" s="42">
        <f>IF((COUNTIF(CC7:CC140,"&gt;0"))=0,"",(COUNTIF(CC7:CC140,"&gt;0")))</f>
        <v>42</v>
      </c>
      <c r="CC144" s="42">
        <f>IF((COUNTIF(CD7:CD140,"&gt;0"))=0,"",(COUNTIF(CD7:CD140,"&gt;0")))</f>
        <v>41</v>
      </c>
      <c r="CD144" s="42">
        <f>IF((COUNTIF(CE7:CE140,"&gt;0"))=0,"",(COUNTIF(CE7:CE140,"&gt;0")))</f>
        <v>45</v>
      </c>
      <c r="CE144" s="42">
        <f t="shared" ref="CE144:CM144" si="20">IF((COUNTIF(CF7:CF142,"&gt;0"))=0,"",(COUNTIF(CF7:CF142,"&gt;0")))</f>
        <v>41</v>
      </c>
      <c r="CF144" s="42">
        <f>IF((COUNTIF(CG7:CG142,"&gt;0"))=0,"",(COUNTIF(CG7:CG142,"&gt;0")))</f>
        <v>49</v>
      </c>
      <c r="CG144" s="42">
        <f t="shared" si="20"/>
        <v>44</v>
      </c>
      <c r="CH144" s="42">
        <f t="shared" si="20"/>
        <v>37</v>
      </c>
      <c r="CI144" s="42">
        <f t="shared" si="20"/>
        <v>43</v>
      </c>
      <c r="CJ144" s="42">
        <f t="shared" si="20"/>
        <v>45</v>
      </c>
      <c r="CK144" s="42">
        <f t="shared" si="20"/>
        <v>43</v>
      </c>
      <c r="CL144" s="42">
        <f t="shared" si="20"/>
        <v>43</v>
      </c>
      <c r="CM144" s="42">
        <f t="shared" si="20"/>
        <v>44</v>
      </c>
      <c r="CN144" s="42" t="str">
        <f>IF((COUNTIF(CO7:CO143,"&gt;0"))=0,"",(COUNTIF(CO7:CO143,"&gt;0")))</f>
        <v/>
      </c>
      <c r="CP144" s="2"/>
    </row>
    <row r="146" spans="78:94" x14ac:dyDescent="0.25">
      <c r="BZ146" s="27"/>
      <c r="CP146" s="27"/>
    </row>
    <row r="147" spans="78:94" x14ac:dyDescent="0.25">
      <c r="BZ147" s="42"/>
      <c r="CP147" s="42"/>
    </row>
  </sheetData>
  <mergeCells count="6">
    <mergeCell ref="CR1:CU1"/>
    <mergeCell ref="G1:Y1"/>
    <mergeCell ref="AC1:AQ1"/>
    <mergeCell ref="AS1:AV1"/>
    <mergeCell ref="BD1:BV1"/>
    <mergeCell ref="CA1:CO1"/>
  </mergeCells>
  <pageMargins left="0.7" right="0.7" top="0.75" bottom="0.75" header="0.3" footer="0.3"/>
  <pageSetup paperSize="9"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U21"/>
  <sheetViews>
    <sheetView zoomScaleNormal="100" workbookViewId="0">
      <selection activeCell="BN7" sqref="BN7"/>
    </sheetView>
  </sheetViews>
  <sheetFormatPr defaultRowHeight="15" x14ac:dyDescent="0.25"/>
  <cols>
    <col min="1" max="1" width="4.7109375" customWidth="1"/>
    <col min="2" max="2" width="9.140625" style="42"/>
    <col min="3" max="3" width="13.140625" style="42" bestFit="1" customWidth="1"/>
    <col min="4" max="4" width="10.140625" style="42" bestFit="1" customWidth="1"/>
    <col min="5" max="5" width="6" style="42" customWidth="1"/>
    <col min="6" max="6" width="9.140625" style="42"/>
    <col min="9" max="9" width="13.140625" bestFit="1" customWidth="1"/>
    <col min="10" max="10" width="16.28515625" bestFit="1" customWidth="1"/>
    <col min="11" max="11" width="6" customWidth="1"/>
    <col min="12" max="12" width="7.5703125" customWidth="1"/>
    <col min="13" max="13" width="6" customWidth="1"/>
    <col min="14" max="14" width="9.28515625" customWidth="1"/>
    <col min="15" max="15" width="6" customWidth="1"/>
    <col min="16" max="16" width="23.140625" bestFit="1" customWidth="1"/>
    <col min="17" max="17" width="6" customWidth="1"/>
    <col min="18" max="18" width="21.7109375" bestFit="1" customWidth="1"/>
    <col min="19" max="19" width="6" customWidth="1"/>
    <col min="20" max="20" width="20.140625" bestFit="1" customWidth="1"/>
    <col min="21" max="21" width="6" customWidth="1"/>
    <col min="22" max="22" width="21.42578125" customWidth="1"/>
    <col min="23" max="23" width="6" customWidth="1"/>
    <col min="24" max="24" width="10.28515625" customWidth="1"/>
    <col min="25" max="39" width="9" customWidth="1"/>
    <col min="40" max="40" width="13.140625" bestFit="1" customWidth="1"/>
    <col min="41" max="41" width="10.140625" bestFit="1" customWidth="1"/>
    <col min="42" max="42" width="6" customWidth="1"/>
    <col min="46" max="46" width="13.140625" bestFit="1" customWidth="1"/>
    <col min="47" max="47" width="16.28515625" bestFit="1" customWidth="1"/>
    <col min="48" max="48" width="6" customWidth="1"/>
    <col min="49" max="49" width="7.5703125" customWidth="1"/>
    <col min="50" max="50" width="6" customWidth="1"/>
    <col min="51" max="51" width="9.28515625" customWidth="1"/>
    <col min="52" max="52" width="6" customWidth="1"/>
    <col min="53" max="53" width="23.140625" bestFit="1" customWidth="1"/>
    <col min="54" max="54" width="6" customWidth="1"/>
    <col min="55" max="55" width="21.7109375" bestFit="1" customWidth="1"/>
    <col min="56" max="56" width="6" customWidth="1"/>
    <col min="57" max="57" width="20.140625" bestFit="1" customWidth="1"/>
    <col min="58" max="58" width="6" customWidth="1"/>
    <col min="59" max="59" width="21.42578125" customWidth="1"/>
    <col min="60" max="60" width="6" customWidth="1"/>
    <col min="61" max="61" width="10.28515625" customWidth="1"/>
    <col min="62" max="63" width="9" customWidth="1"/>
  </cols>
  <sheetData>
    <row r="1" spans="2:73" s="17" customFormat="1" x14ac:dyDescent="0.25">
      <c r="B1" s="38"/>
      <c r="C1" s="44" t="s">
        <v>320</v>
      </c>
      <c r="D1" s="44"/>
      <c r="E1" s="51"/>
      <c r="F1" s="51"/>
      <c r="H1" s="38"/>
      <c r="I1" s="44" t="s">
        <v>321</v>
      </c>
      <c r="J1" s="51"/>
      <c r="K1" s="51"/>
      <c r="L1" s="51"/>
      <c r="M1" s="51"/>
      <c r="N1" s="51"/>
      <c r="O1" s="51"/>
      <c r="P1" s="51"/>
      <c r="Q1" s="51"/>
      <c r="R1" s="51"/>
      <c r="S1" s="51"/>
      <c r="T1" s="51"/>
      <c r="U1" s="51"/>
      <c r="V1" s="119"/>
      <c r="W1" s="119"/>
      <c r="X1" s="119"/>
      <c r="Y1" s="119"/>
      <c r="Z1" s="119"/>
      <c r="AA1" s="51"/>
      <c r="AB1" s="51"/>
      <c r="AC1" s="51"/>
      <c r="AD1" s="51"/>
      <c r="AE1" s="51"/>
      <c r="AF1" s="51"/>
      <c r="AG1" s="51"/>
      <c r="AH1" s="51"/>
      <c r="AI1" s="51"/>
      <c r="AJ1" s="119"/>
      <c r="AK1" s="119"/>
      <c r="AL1" s="119"/>
      <c r="AM1" s="38"/>
      <c r="AN1" s="44" t="s">
        <v>304</v>
      </c>
      <c r="AO1" s="41"/>
      <c r="AP1" s="41"/>
      <c r="AQ1" s="41"/>
      <c r="AR1" s="41"/>
      <c r="AT1" s="56" t="s">
        <v>306</v>
      </c>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row>
    <row r="3" spans="2:73" x14ac:dyDescent="0.35">
      <c r="C3" s="18" t="s">
        <v>41</v>
      </c>
      <c r="D3" t="s" vm="1">
        <v>287</v>
      </c>
      <c r="E3"/>
      <c r="I3" s="18" t="s">
        <v>41</v>
      </c>
      <c r="J3" t="s" vm="1">
        <v>287</v>
      </c>
      <c r="AC3" t="s">
        <v>42</v>
      </c>
      <c r="AD3" t="s">
        <v>1</v>
      </c>
      <c r="AE3" t="s">
        <v>241</v>
      </c>
      <c r="AF3" t="s">
        <v>282</v>
      </c>
      <c r="AG3" t="s">
        <v>238</v>
      </c>
      <c r="AH3" t="s">
        <v>239</v>
      </c>
      <c r="AI3" t="s">
        <v>285</v>
      </c>
      <c r="AJ3" t="s">
        <v>284</v>
      </c>
      <c r="AN3" s="18" t="s">
        <v>41</v>
      </c>
      <c r="AO3" t="s" vm="1">
        <v>287</v>
      </c>
      <c r="AT3" s="18" t="s">
        <v>41</v>
      </c>
      <c r="AU3" t="s" vm="1">
        <v>287</v>
      </c>
    </row>
    <row r="4" spans="2:73" x14ac:dyDescent="0.35">
      <c r="C4"/>
      <c r="D4"/>
      <c r="E4"/>
      <c r="AB4" t="s">
        <v>44</v>
      </c>
      <c r="AC4" s="28">
        <f>VLOOKUP($AB4,$I$8:$Y$1048576,17,FALSE)/VLOOKUP($AB4,$I$8:$Y$1048576,16,FALSE)</f>
        <v>0.83083453405506447</v>
      </c>
      <c r="AD4" s="28">
        <f>VLOOKUP($AB4,$I$8:$Y$1048576,5,FALSE)/VLOOKUP($AB4,$I$8:$Y$1048576,4,FALSE)</f>
        <v>0.90016700686583784</v>
      </c>
      <c r="AE4" s="28">
        <f>VLOOKUP($AB4,$I$8:$Y$1048576,7,FALSE)/VLOOKUP($AB4,$I$8:$Y$1048576,6,FALSE)</f>
        <v>0.83240843507214202</v>
      </c>
      <c r="AF4" s="28">
        <f>VLOOKUP($AB4,$I$8:$Y$1048576,9,FALSE)/VLOOKUP($AB4,$I$8:$Y$1048576,8,FALSE)</f>
        <v>0.79125683060109286</v>
      </c>
      <c r="AG4" s="28">
        <f>VLOOKUP($AB4,$I$8:$Y$1048576,13,FALSE)/VLOOKUP($AB4,$I$8:$Y$1048576,12,FALSE)</f>
        <v>0.84200800739143822</v>
      </c>
      <c r="AH4" s="28">
        <f>VLOOKUP($AB4,$I$8:$Y$1048576,15,FALSE)/VLOOKUP($AB4,$I$8:$Y$1048576,14,FALSE)</f>
        <v>0.7681551646368967</v>
      </c>
      <c r="AI4" s="28">
        <f>VLOOKUP($AB4,$I$8:$Y$1048576,3,FALSE)/VLOOKUP($AB4,$I$8:$Y$1048576,2,FALSE)</f>
        <v>0.78685002148689298</v>
      </c>
      <c r="AJ4" s="28">
        <f>VLOOKUP($AB4,$I$8:$Y$1048576,11,FALSE)/VLOOKUP($AB4,$I$8:$Y$1048576,10,FALSE)</f>
        <v>0.83240713658964605</v>
      </c>
      <c r="AK4" s="46"/>
      <c r="AL4" s="46"/>
    </row>
    <row r="5" spans="2:73" x14ac:dyDescent="0.35">
      <c r="C5" s="18" t="s">
        <v>38</v>
      </c>
      <c r="D5" t="s">
        <v>195</v>
      </c>
      <c r="E5" t="s">
        <v>197</v>
      </c>
      <c r="J5" s="18" t="s">
        <v>43</v>
      </c>
      <c r="AB5" t="s">
        <v>45</v>
      </c>
      <c r="AC5" s="28">
        <f t="shared" ref="AC5:AC16" si="0">VLOOKUP($AB5,$I$8:$Y$1048576,17,FALSE)/VLOOKUP($AB5,$I$8:$Y$1048576,16,FALSE)</f>
        <v>0.83786411542799366</v>
      </c>
      <c r="AD5" s="28">
        <f t="shared" ref="AD5:AD16" si="1">VLOOKUP($AB5,$I$8:$Y$1048576,5,FALSE)/VLOOKUP($AB5,$I$8:$Y$1048576,4,FALSE)</f>
        <v>0.90360777058279373</v>
      </c>
      <c r="AE5" s="28">
        <f t="shared" ref="AE5:AE16" si="2">VLOOKUP($AB5,$I$8:$Y$1048576,7,FALSE)/VLOOKUP($AB5,$I$8:$Y$1048576,6,FALSE)</f>
        <v>0.83644030181979578</v>
      </c>
      <c r="AF5" s="28">
        <f t="shared" ref="AF5:AF16" si="3">VLOOKUP($AB5,$I$8:$Y$1048576,9,FALSE)/VLOOKUP($AB5,$I$8:$Y$1048576,8,FALSE)</f>
        <v>0.8029578077424967</v>
      </c>
      <c r="AG5" s="28">
        <f t="shared" ref="AG5:AG16" si="4">VLOOKUP($AB5,$I$8:$Y$1048576,13,FALSE)/VLOOKUP($AB5,$I$8:$Y$1048576,12,FALSE)</f>
        <v>0.8502024291497976</v>
      </c>
      <c r="AH5" s="28">
        <f t="shared" ref="AH5:AH16" si="5">VLOOKUP($AB5,$I$8:$Y$1048576,15,FALSE)/VLOOKUP($AB5,$I$8:$Y$1048576,14,FALSE)</f>
        <v>0.81333930170098478</v>
      </c>
      <c r="AI5" s="28">
        <f t="shared" ref="AI5:AI16" si="6">VLOOKUP($AB5,$I$8:$Y$1048576,3,FALSE)/VLOOKUP($AB5,$I$8:$Y$1048576,2,FALSE)</f>
        <v>0.76679503637141633</v>
      </c>
      <c r="AJ5" s="28">
        <f t="shared" ref="AJ5:AJ16" si="7">VLOOKUP($AB5,$I$8:$Y$1048576,11,FALSE)/VLOOKUP($AB5,$I$8:$Y$1048576,10,FALSE)</f>
        <v>0.83576855639976622</v>
      </c>
      <c r="AK5" s="46"/>
      <c r="AL5" s="46"/>
      <c r="AN5" s="18" t="s">
        <v>38</v>
      </c>
      <c r="AO5" t="s">
        <v>195</v>
      </c>
      <c r="AP5" t="s">
        <v>197</v>
      </c>
      <c r="AU5" s="18" t="s">
        <v>43</v>
      </c>
      <c r="BN5" t="s">
        <v>42</v>
      </c>
      <c r="BO5" t="s">
        <v>1</v>
      </c>
      <c r="BP5" t="s">
        <v>241</v>
      </c>
      <c r="BQ5" t="s">
        <v>282</v>
      </c>
      <c r="BR5" t="s">
        <v>238</v>
      </c>
      <c r="BS5" t="s">
        <v>239</v>
      </c>
      <c r="BT5" t="s">
        <v>285</v>
      </c>
      <c r="BU5" t="s">
        <v>284</v>
      </c>
    </row>
    <row r="6" spans="2:73" x14ac:dyDescent="0.35">
      <c r="B6" s="28"/>
      <c r="C6" s="19" t="s">
        <v>39</v>
      </c>
      <c r="D6" s="2">
        <v>25679</v>
      </c>
      <c r="E6" s="2">
        <v>21335</v>
      </c>
      <c r="F6" s="28">
        <f>E6/D6</f>
        <v>0.83083453405506447</v>
      </c>
      <c r="H6" s="28"/>
      <c r="J6" t="s">
        <v>329</v>
      </c>
      <c r="L6" t="s">
        <v>1</v>
      </c>
      <c r="N6" t="s">
        <v>241</v>
      </c>
      <c r="P6" t="s">
        <v>286</v>
      </c>
      <c r="R6" t="s">
        <v>330</v>
      </c>
      <c r="T6" t="s">
        <v>237</v>
      </c>
      <c r="V6" t="s">
        <v>331</v>
      </c>
      <c r="X6" t="s">
        <v>194</v>
      </c>
      <c r="Y6" t="s">
        <v>196</v>
      </c>
      <c r="AB6" t="s">
        <v>46</v>
      </c>
      <c r="AC6" s="28">
        <f t="shared" si="0"/>
        <v>0.8412383177570093</v>
      </c>
      <c r="AD6" s="28">
        <f t="shared" si="1"/>
        <v>0.90338700721821208</v>
      </c>
      <c r="AE6" s="28">
        <f t="shared" si="2"/>
        <v>0.84322881921280857</v>
      </c>
      <c r="AF6" s="28">
        <f t="shared" si="3"/>
        <v>0.79434782608695653</v>
      </c>
      <c r="AG6" s="28">
        <f t="shared" si="4"/>
        <v>0.85812500000000003</v>
      </c>
      <c r="AH6" s="28">
        <f t="shared" si="5"/>
        <v>0.82170193606483566</v>
      </c>
      <c r="AI6" s="28">
        <f t="shared" si="6"/>
        <v>0.78081023454157783</v>
      </c>
      <c r="AJ6" s="28">
        <f t="shared" si="7"/>
        <v>0.84182776801405979</v>
      </c>
      <c r="AK6" s="46"/>
      <c r="AL6" s="46"/>
      <c r="AN6" s="19" t="s">
        <v>39</v>
      </c>
      <c r="AO6" s="2">
        <v>25679</v>
      </c>
      <c r="AP6" s="2">
        <v>21335</v>
      </c>
      <c r="AQ6" s="20">
        <f>(AO6-AP6)/4</f>
        <v>1086</v>
      </c>
      <c r="AR6" s="20"/>
      <c r="AU6" t="s">
        <v>329</v>
      </c>
      <c r="AW6" t="s">
        <v>1</v>
      </c>
      <c r="AY6" t="s">
        <v>241</v>
      </c>
      <c r="BA6" t="s">
        <v>286</v>
      </c>
      <c r="BC6" t="s">
        <v>330</v>
      </c>
      <c r="BE6" t="s">
        <v>237</v>
      </c>
      <c r="BG6" t="s">
        <v>331</v>
      </c>
      <c r="BI6" t="s">
        <v>194</v>
      </c>
      <c r="BJ6" t="s">
        <v>196</v>
      </c>
      <c r="BM6" s="42" t="s">
        <v>44</v>
      </c>
      <c r="BN6" s="25">
        <f>(VLOOKUP($BM6,$AT$8:$BJ$1048576,16,FALSE)-VLOOKUP($BM6,$AT$8:$BJ$1048576,17,FALSE))/7</f>
        <v>620.57142857142856</v>
      </c>
      <c r="BO6" s="25">
        <f>(VLOOKUP($BM6,$AT$8:$BJ$1048576,4,FALSE)-VLOOKUP($BM6,$AT$8:$BJ$1048576,5,FALSE))/7</f>
        <v>76.857142857142861</v>
      </c>
      <c r="BP6" s="25">
        <f>(VLOOKUP($BM6,$AT$8:$BJ$1048576,6,FALSE)-VLOOKUP($BM6,$AT$8:$BJ$1048576,7,FALSE))/7</f>
        <v>107.85714285714286</v>
      </c>
      <c r="BQ6" s="25">
        <f>(VLOOKUP($BM6,$AT$8:$BJ$1048576,8,FALSE)-VLOOKUP($BM6,$AT$8:$BJ$1048576,9,FALSE))/7</f>
        <v>136.42857142857142</v>
      </c>
      <c r="BR6" s="25">
        <f>(VLOOKUP($BM6,$AT$8:$BJ$1048576,12,FALSE)-VLOOKUP($BM6,$AT$8:$BJ$1048576,13,FALSE))/7</f>
        <v>73.285714285714292</v>
      </c>
      <c r="BS6" s="25">
        <f>(VLOOKUP($BM6,$AT$8:$BJ$1048576,14,FALSE)-VLOOKUP($BM6,$AT$8:$BJ$1048576,15,FALSE))/7</f>
        <v>73.428571428571431</v>
      </c>
      <c r="BT6" s="25">
        <f>(VLOOKUP($BM6,$AT$8:$BJ$1048576,2,FALSE)-VLOOKUP($BM6,$AT$8:$BJ$1048576,3,FALSE))/7</f>
        <v>70.857142857142861</v>
      </c>
      <c r="BU6" s="25">
        <f>(VLOOKUP($BM6,$AT$8:$BJ$1048576,10,FALSE)-VLOOKUP($BM6,$AT$8:$BJ$1048576,11,FALSE))/7</f>
        <v>81.857142857142861</v>
      </c>
    </row>
    <row r="7" spans="2:73" x14ac:dyDescent="0.35">
      <c r="B7" s="28"/>
      <c r="C7" s="19" t="s">
        <v>332</v>
      </c>
      <c r="D7" s="2">
        <v>25713</v>
      </c>
      <c r="E7" s="2">
        <v>21544</v>
      </c>
      <c r="F7" s="28">
        <f t="shared" ref="F7:F20" si="8">E7/D7</f>
        <v>0.83786411542799366</v>
      </c>
      <c r="H7" s="28"/>
      <c r="I7" s="18" t="s">
        <v>38</v>
      </c>
      <c r="J7" t="s">
        <v>195</v>
      </c>
      <c r="K7" t="s">
        <v>197</v>
      </c>
      <c r="L7" t="s">
        <v>195</v>
      </c>
      <c r="M7" t="s">
        <v>197</v>
      </c>
      <c r="N7" t="s">
        <v>195</v>
      </c>
      <c r="O7" t="s">
        <v>197</v>
      </c>
      <c r="P7" t="s">
        <v>195</v>
      </c>
      <c r="Q7" t="s">
        <v>197</v>
      </c>
      <c r="R7" t="s">
        <v>195</v>
      </c>
      <c r="S7" t="s">
        <v>197</v>
      </c>
      <c r="T7" t="s">
        <v>195</v>
      </c>
      <c r="U7" t="s">
        <v>197</v>
      </c>
      <c r="V7" t="s">
        <v>195</v>
      </c>
      <c r="W7" t="s">
        <v>197</v>
      </c>
      <c r="AB7" t="s">
        <v>47</v>
      </c>
      <c r="AC7" s="28">
        <f t="shared" si="0"/>
        <v>0.78613350027388684</v>
      </c>
      <c r="AD7" s="28">
        <f t="shared" si="1"/>
        <v>0.84710667406174889</v>
      </c>
      <c r="AE7" s="28">
        <f t="shared" si="2"/>
        <v>0.78645364536453644</v>
      </c>
      <c r="AF7" s="28">
        <f t="shared" si="3"/>
        <v>0.74335511982570801</v>
      </c>
      <c r="AG7" s="28">
        <f t="shared" si="4"/>
        <v>0.79385964912280704</v>
      </c>
      <c r="AH7" s="28">
        <f t="shared" si="5"/>
        <v>0.77297543221110099</v>
      </c>
      <c r="AI7" s="28">
        <f t="shared" si="6"/>
        <v>0.71832191780821919</v>
      </c>
      <c r="AJ7" s="28">
        <f t="shared" si="7"/>
        <v>0.79433461197993505</v>
      </c>
      <c r="AK7" s="46"/>
      <c r="AL7" s="46"/>
      <c r="AN7" s="19" t="s">
        <v>332</v>
      </c>
      <c r="AO7" s="2">
        <v>25713</v>
      </c>
      <c r="AP7" s="2">
        <v>21544</v>
      </c>
      <c r="AQ7" s="20">
        <f>(AO7-AP7)/7</f>
        <v>595.57142857142856</v>
      </c>
      <c r="AR7" s="20"/>
      <c r="AT7" s="18" t="s">
        <v>38</v>
      </c>
      <c r="AU7" t="s">
        <v>195</v>
      </c>
      <c r="AV7" t="s">
        <v>197</v>
      </c>
      <c r="AW7" t="s">
        <v>195</v>
      </c>
      <c r="AX7" t="s">
        <v>197</v>
      </c>
      <c r="AY7" t="s">
        <v>195</v>
      </c>
      <c r="AZ7" t="s">
        <v>197</v>
      </c>
      <c r="BA7" t="s">
        <v>195</v>
      </c>
      <c r="BB7" t="s">
        <v>197</v>
      </c>
      <c r="BC7" t="s">
        <v>195</v>
      </c>
      <c r="BD7" t="s">
        <v>197</v>
      </c>
      <c r="BE7" t="s">
        <v>195</v>
      </c>
      <c r="BF7" t="s">
        <v>197</v>
      </c>
      <c r="BG7" t="s">
        <v>195</v>
      </c>
      <c r="BH7" t="s">
        <v>197</v>
      </c>
      <c r="BM7" s="42" t="s">
        <v>45</v>
      </c>
      <c r="BN7" s="25">
        <f t="shared" ref="BN7:BN18" si="9">(VLOOKUP($BM7,$AT$8:$BJ$1048576,16,FALSE)-VLOOKUP($BM7,$AT$8:$BJ$1048576,17,FALSE))/7</f>
        <v>595.57142857142856</v>
      </c>
      <c r="BO7" s="25">
        <f t="shared" ref="BO7:BO18" si="10">(VLOOKUP($BM7,$AT$8:$BJ$1048576,4,FALSE)-VLOOKUP($BM7,$AT$8:$BJ$1048576,5,FALSE))/7</f>
        <v>74.428571428571431</v>
      </c>
      <c r="BP7" s="25">
        <f t="shared" ref="BP7:BP18" si="11">(VLOOKUP($BM7,$AT$8:$BJ$1048576,6,FALSE)-VLOOKUP($BM7,$AT$8:$BJ$1048576,7,FALSE))/7</f>
        <v>105.28571428571429</v>
      </c>
      <c r="BQ7" s="25">
        <f t="shared" ref="BQ7:BQ18" si="12">(VLOOKUP($BM7,$AT$8:$BJ$1048576,8,FALSE)-VLOOKUP($BM7,$AT$8:$BJ$1048576,9,FALSE))/7</f>
        <v>129.42857142857142</v>
      </c>
      <c r="BR7" s="25">
        <f t="shared" ref="BR7:BR18" si="13">(VLOOKUP($BM7,$AT$8:$BJ$1048576,12,FALSE)-VLOOKUP($BM7,$AT$8:$BJ$1048576,13,FALSE))/7</f>
        <v>68.714285714285708</v>
      </c>
      <c r="BS7" s="25">
        <f t="shared" ref="BS7:BS18" si="14">(VLOOKUP($BM7,$AT$8:$BJ$1048576,14,FALSE)-VLOOKUP($BM7,$AT$8:$BJ$1048576,15,FALSE))/7</f>
        <v>59.571428571428569</v>
      </c>
      <c r="BT7" s="25">
        <f t="shared" ref="BT7:BT18" si="15">(VLOOKUP($BM7,$AT$8:$BJ$1048576,2,FALSE)-VLOOKUP($BM7,$AT$8:$BJ$1048576,3,FALSE))/7</f>
        <v>77.857142857142861</v>
      </c>
      <c r="BU7" s="25">
        <f t="shared" ref="BU7:BU17" si="16">(VLOOKUP($BM7,$AT$8:$BJ$1048576,10,FALSE)-VLOOKUP($BM7,$AT$8:$BJ$1048576,11,FALSE))/7</f>
        <v>80.285714285714292</v>
      </c>
    </row>
    <row r="8" spans="2:73" x14ac:dyDescent="0.35">
      <c r="B8" s="28"/>
      <c r="C8" s="19" t="s">
        <v>341</v>
      </c>
      <c r="D8" s="2">
        <v>25680</v>
      </c>
      <c r="E8" s="2">
        <v>21603</v>
      </c>
      <c r="F8" s="28">
        <f t="shared" si="8"/>
        <v>0.8412383177570093</v>
      </c>
      <c r="H8" s="28"/>
      <c r="I8" s="19" t="s">
        <v>44</v>
      </c>
      <c r="J8" s="2">
        <v>2327</v>
      </c>
      <c r="K8" s="2">
        <v>1831</v>
      </c>
      <c r="L8" s="2">
        <v>5389</v>
      </c>
      <c r="M8" s="2">
        <v>4851</v>
      </c>
      <c r="N8" s="2">
        <v>4505</v>
      </c>
      <c r="O8" s="2">
        <v>3750</v>
      </c>
      <c r="P8" s="2">
        <v>4575</v>
      </c>
      <c r="Q8" s="2">
        <v>3620</v>
      </c>
      <c r="R8" s="2">
        <v>3419</v>
      </c>
      <c r="S8" s="2">
        <v>2846</v>
      </c>
      <c r="T8" s="2">
        <v>3247</v>
      </c>
      <c r="U8" s="2">
        <v>2734</v>
      </c>
      <c r="V8" s="2">
        <v>2217</v>
      </c>
      <c r="W8" s="2">
        <v>1703</v>
      </c>
      <c r="X8" s="2">
        <v>25679</v>
      </c>
      <c r="Y8" s="2">
        <v>21335</v>
      </c>
      <c r="Z8" s="2"/>
      <c r="AA8" s="2"/>
      <c r="AB8" s="20" t="s">
        <v>48</v>
      </c>
      <c r="AC8" s="28">
        <f t="shared" si="0"/>
        <v>0.82354774613316706</v>
      </c>
      <c r="AD8" s="28">
        <f t="shared" si="1"/>
        <v>0.85809682804674459</v>
      </c>
      <c r="AE8" s="28">
        <f t="shared" si="2"/>
        <v>0.82043956043956046</v>
      </c>
      <c r="AF8" s="28">
        <f t="shared" si="3"/>
        <v>0.77871694841785866</v>
      </c>
      <c r="AG8" s="28">
        <f t="shared" si="4"/>
        <v>0.85461872287662743</v>
      </c>
      <c r="AH8" s="28">
        <f t="shared" si="5"/>
        <v>0.81402861098292567</v>
      </c>
      <c r="AI8" s="28">
        <f>VLOOKUP($AB8,$I$8:$Y$1048576,3,FALSE)/VLOOKUP($AB8,$I$8:$Y$1048576,2,FALSE)</f>
        <v>0.76565217391304352</v>
      </c>
      <c r="AJ8" s="28">
        <f t="shared" si="7"/>
        <v>0.84937116115823341</v>
      </c>
      <c r="AK8" s="46"/>
      <c r="AL8" s="46"/>
      <c r="AM8" s="2"/>
      <c r="AN8" s="19" t="s">
        <v>341</v>
      </c>
      <c r="AO8" s="2">
        <v>25680</v>
      </c>
      <c r="AP8" s="2">
        <v>21603</v>
      </c>
      <c r="AQ8" s="20">
        <f t="shared" ref="AQ8:AQ19" si="17">(AO8-AP8)/7</f>
        <v>582.42857142857144</v>
      </c>
      <c r="AR8" s="20"/>
      <c r="AT8" s="19" t="s">
        <v>44</v>
      </c>
      <c r="AU8" s="2">
        <v>2327</v>
      </c>
      <c r="AV8" s="2">
        <v>1831</v>
      </c>
      <c r="AW8" s="2">
        <v>5389</v>
      </c>
      <c r="AX8" s="2">
        <v>4851</v>
      </c>
      <c r="AY8" s="2">
        <v>4505</v>
      </c>
      <c r="AZ8" s="2">
        <v>3750</v>
      </c>
      <c r="BA8" s="2">
        <v>4575</v>
      </c>
      <c r="BB8" s="2">
        <v>3620</v>
      </c>
      <c r="BC8" s="2">
        <v>3419</v>
      </c>
      <c r="BD8" s="2">
        <v>2846</v>
      </c>
      <c r="BE8" s="2">
        <v>3247</v>
      </c>
      <c r="BF8" s="2">
        <v>2734</v>
      </c>
      <c r="BG8" s="2">
        <v>2217</v>
      </c>
      <c r="BH8" s="2">
        <v>1703</v>
      </c>
      <c r="BI8" s="2">
        <v>25679</v>
      </c>
      <c r="BJ8" s="2">
        <v>21335</v>
      </c>
      <c r="BK8" s="2"/>
      <c r="BM8" s="42" t="s">
        <v>46</v>
      </c>
      <c r="BN8" s="25">
        <f t="shared" si="9"/>
        <v>582.42857142857144</v>
      </c>
      <c r="BO8" s="25">
        <f t="shared" si="10"/>
        <v>74.571428571428569</v>
      </c>
      <c r="BP8" s="25">
        <f t="shared" si="11"/>
        <v>100.71428571428571</v>
      </c>
      <c r="BQ8" s="25">
        <f t="shared" si="12"/>
        <v>135.14285714285714</v>
      </c>
      <c r="BR8" s="25">
        <f t="shared" si="13"/>
        <v>64.857142857142861</v>
      </c>
      <c r="BS8" s="25">
        <f t="shared" si="14"/>
        <v>56.571428571428569</v>
      </c>
      <c r="BT8" s="25">
        <f t="shared" si="15"/>
        <v>73.428571428571431</v>
      </c>
      <c r="BU8" s="25">
        <f t="shared" si="16"/>
        <v>77.142857142857139</v>
      </c>
    </row>
    <row r="9" spans="2:73" x14ac:dyDescent="0.35">
      <c r="B9" s="28"/>
      <c r="C9" s="19" t="s">
        <v>350</v>
      </c>
      <c r="D9" s="2">
        <v>25558</v>
      </c>
      <c r="E9" s="2">
        <v>20092</v>
      </c>
      <c r="F9" s="28">
        <f>E9/D9</f>
        <v>0.78613350027388684</v>
      </c>
      <c r="H9" s="28"/>
      <c r="I9" s="19" t="s">
        <v>53</v>
      </c>
      <c r="J9" s="2">
        <v>2290</v>
      </c>
      <c r="K9" s="2">
        <v>1751</v>
      </c>
      <c r="L9" s="2">
        <v>5415</v>
      </c>
      <c r="M9" s="2">
        <v>4623</v>
      </c>
      <c r="N9" s="2">
        <v>4515</v>
      </c>
      <c r="O9" s="2">
        <v>3692</v>
      </c>
      <c r="P9" s="2">
        <v>4605</v>
      </c>
      <c r="Q9" s="2">
        <v>3528</v>
      </c>
      <c r="R9" s="2">
        <v>3412</v>
      </c>
      <c r="S9" s="2">
        <v>2841</v>
      </c>
      <c r="T9" s="2">
        <v>3232</v>
      </c>
      <c r="U9" s="2">
        <v>2687</v>
      </c>
      <c r="V9" s="2">
        <v>2210</v>
      </c>
      <c r="W9" s="2">
        <v>1774</v>
      </c>
      <c r="X9" s="2">
        <v>25679</v>
      </c>
      <c r="Y9" s="2">
        <v>20896</v>
      </c>
      <c r="Z9" s="2"/>
      <c r="AA9" s="2"/>
      <c r="AB9" s="20" t="s">
        <v>49</v>
      </c>
      <c r="AC9" s="28">
        <f t="shared" si="0"/>
        <v>0.84481688392302923</v>
      </c>
      <c r="AD9" s="28">
        <f t="shared" si="1"/>
        <v>0.89439970717423134</v>
      </c>
      <c r="AE9" s="28">
        <f t="shared" si="2"/>
        <v>0.84301170236255241</v>
      </c>
      <c r="AF9" s="28">
        <f t="shared" si="3"/>
        <v>0.79083405734144219</v>
      </c>
      <c r="AG9" s="28">
        <f t="shared" si="4"/>
        <v>0.86751080914144529</v>
      </c>
      <c r="AH9" s="28">
        <f t="shared" si="5"/>
        <v>0.82657657657657657</v>
      </c>
      <c r="AI9" s="28">
        <f t="shared" si="6"/>
        <v>0.80432900432900434</v>
      </c>
      <c r="AJ9" s="28">
        <f t="shared" si="7"/>
        <v>0.85839929639401935</v>
      </c>
      <c r="AK9" s="46"/>
      <c r="AL9" s="46"/>
      <c r="AM9" s="2"/>
      <c r="AN9" s="19" t="s">
        <v>350</v>
      </c>
      <c r="AO9" s="2">
        <v>25558</v>
      </c>
      <c r="AP9" s="2">
        <v>20092</v>
      </c>
      <c r="AQ9" s="20">
        <f t="shared" si="17"/>
        <v>780.85714285714289</v>
      </c>
      <c r="AR9" s="20"/>
      <c r="AT9" s="19" t="s">
        <v>53</v>
      </c>
      <c r="AU9" s="2">
        <v>2290</v>
      </c>
      <c r="AV9" s="2">
        <v>1751</v>
      </c>
      <c r="AW9" s="2">
        <v>5415</v>
      </c>
      <c r="AX9" s="2">
        <v>4623</v>
      </c>
      <c r="AY9" s="2">
        <v>4515</v>
      </c>
      <c r="AZ9" s="2">
        <v>3692</v>
      </c>
      <c r="BA9" s="2">
        <v>4605</v>
      </c>
      <c r="BB9" s="2">
        <v>3528</v>
      </c>
      <c r="BC9" s="2">
        <v>3412</v>
      </c>
      <c r="BD9" s="2">
        <v>2841</v>
      </c>
      <c r="BE9" s="2">
        <v>3232</v>
      </c>
      <c r="BF9" s="2">
        <v>2687</v>
      </c>
      <c r="BG9" s="2">
        <v>2210</v>
      </c>
      <c r="BH9" s="2">
        <v>1774</v>
      </c>
      <c r="BI9" s="2">
        <v>25679</v>
      </c>
      <c r="BJ9" s="2">
        <v>20896</v>
      </c>
      <c r="BK9" s="2"/>
      <c r="BM9" s="42" t="s">
        <v>47</v>
      </c>
      <c r="BN9" s="25">
        <f t="shared" si="9"/>
        <v>780.85714285714289</v>
      </c>
      <c r="BO9" s="25">
        <f t="shared" si="10"/>
        <v>118.14285714285714</v>
      </c>
      <c r="BP9" s="25">
        <f t="shared" si="11"/>
        <v>135.57142857142858</v>
      </c>
      <c r="BQ9" s="25">
        <f t="shared" si="12"/>
        <v>168.28571428571428</v>
      </c>
      <c r="BR9" s="25">
        <f t="shared" si="13"/>
        <v>94</v>
      </c>
      <c r="BS9" s="25">
        <f t="shared" si="14"/>
        <v>71.285714285714292</v>
      </c>
      <c r="BT9" s="25">
        <f t="shared" si="15"/>
        <v>94</v>
      </c>
      <c r="BU9" s="25">
        <f t="shared" si="16"/>
        <v>99.571428571428569</v>
      </c>
    </row>
    <row r="10" spans="2:73" x14ac:dyDescent="0.25">
      <c r="B10" s="28"/>
      <c r="C10" s="19" t="s">
        <v>359</v>
      </c>
      <c r="D10" s="2">
        <v>25667</v>
      </c>
      <c r="E10" s="2">
        <v>21138</v>
      </c>
      <c r="F10" s="28">
        <f t="shared" si="8"/>
        <v>0.82354774613316706</v>
      </c>
      <c r="H10" s="28"/>
      <c r="I10" s="19" t="s">
        <v>54</v>
      </c>
      <c r="J10" s="2">
        <v>2275</v>
      </c>
      <c r="K10" s="2">
        <v>1695</v>
      </c>
      <c r="L10" s="2">
        <v>5461</v>
      </c>
      <c r="M10" s="2">
        <v>4883</v>
      </c>
      <c r="N10" s="2">
        <v>4499</v>
      </c>
      <c r="O10" s="2">
        <v>3646</v>
      </c>
      <c r="P10" s="2">
        <v>4607</v>
      </c>
      <c r="Q10" s="2">
        <v>3521</v>
      </c>
      <c r="R10" s="2">
        <v>3402</v>
      </c>
      <c r="S10" s="2">
        <v>2773</v>
      </c>
      <c r="T10" s="2">
        <v>3249</v>
      </c>
      <c r="U10" s="2">
        <v>2695</v>
      </c>
      <c r="V10" s="2">
        <v>2216</v>
      </c>
      <c r="W10" s="2">
        <v>1770</v>
      </c>
      <c r="X10" s="2">
        <v>25709</v>
      </c>
      <c r="Y10" s="2">
        <v>20983</v>
      </c>
      <c r="Z10" s="2"/>
      <c r="AA10" s="28"/>
      <c r="AB10" s="20" t="s">
        <v>50</v>
      </c>
      <c r="AC10" s="28">
        <f t="shared" si="0"/>
        <v>0.83203883495145636</v>
      </c>
      <c r="AD10" s="28">
        <f>VLOOKUP($AB10,$I$8:$Y$1048576,5,FALSE)/VLOOKUP($AB10,$I$8:$Y$1048576,4,FALSE)</f>
        <v>0.89816176470588238</v>
      </c>
      <c r="AE10" s="28">
        <f t="shared" si="2"/>
        <v>0.80450132391879969</v>
      </c>
      <c r="AF10" s="28">
        <f t="shared" si="3"/>
        <v>0.77847553053269813</v>
      </c>
      <c r="AG10" s="28">
        <f t="shared" si="4"/>
        <v>0.86373490244657791</v>
      </c>
      <c r="AH10" s="28">
        <f>VLOOKUP($AB10,$I$8:$Y$1048576,15,FALSE)/VLOOKUP($AB10,$I$8:$Y$1048576,14,FALSE)</f>
        <v>0.83325842696629215</v>
      </c>
      <c r="AI10" s="28">
        <f t="shared" si="6"/>
        <v>0.78145407052677407</v>
      </c>
      <c r="AJ10" s="28">
        <f t="shared" si="7"/>
        <v>0.8389557054854796</v>
      </c>
      <c r="AK10" s="46"/>
      <c r="AL10" s="46"/>
      <c r="AM10" s="28"/>
      <c r="AN10" s="19" t="s">
        <v>359</v>
      </c>
      <c r="AO10" s="2">
        <v>25667</v>
      </c>
      <c r="AP10" s="2">
        <v>21138</v>
      </c>
      <c r="AQ10" s="20">
        <f t="shared" si="17"/>
        <v>647</v>
      </c>
      <c r="AT10" s="19" t="s">
        <v>54</v>
      </c>
      <c r="AU10" s="2">
        <v>2275</v>
      </c>
      <c r="AV10" s="2">
        <v>1695</v>
      </c>
      <c r="AW10" s="2">
        <v>5461</v>
      </c>
      <c r="AX10" s="2">
        <v>4883</v>
      </c>
      <c r="AY10" s="2">
        <v>4499</v>
      </c>
      <c r="AZ10" s="2">
        <v>3646</v>
      </c>
      <c r="BA10" s="2">
        <v>4607</v>
      </c>
      <c r="BB10" s="2">
        <v>3521</v>
      </c>
      <c r="BC10" s="2">
        <v>3402</v>
      </c>
      <c r="BD10" s="2">
        <v>2773</v>
      </c>
      <c r="BE10" s="2">
        <v>3249</v>
      </c>
      <c r="BF10" s="2">
        <v>2695</v>
      </c>
      <c r="BG10" s="2">
        <v>2216</v>
      </c>
      <c r="BH10" s="2">
        <v>1770</v>
      </c>
      <c r="BI10" s="2">
        <v>25709</v>
      </c>
      <c r="BJ10" s="2">
        <v>20983</v>
      </c>
      <c r="BK10" s="2"/>
      <c r="BM10" s="20" t="s">
        <v>48</v>
      </c>
      <c r="BN10" s="25">
        <f t="shared" si="9"/>
        <v>647</v>
      </c>
      <c r="BO10" s="25">
        <f t="shared" si="10"/>
        <v>109.28571428571429</v>
      </c>
      <c r="BP10" s="25">
        <f t="shared" si="11"/>
        <v>116.71428571428571</v>
      </c>
      <c r="BQ10" s="25">
        <f t="shared" si="12"/>
        <v>145.85714285714286</v>
      </c>
      <c r="BR10" s="25">
        <f t="shared" si="13"/>
        <v>67</v>
      </c>
      <c r="BS10" s="25">
        <f t="shared" si="14"/>
        <v>57.571428571428569</v>
      </c>
      <c r="BT10" s="25">
        <f t="shared" si="15"/>
        <v>77</v>
      </c>
      <c r="BU10" s="25">
        <f t="shared" si="16"/>
        <v>73.571428571428569</v>
      </c>
    </row>
    <row r="11" spans="2:73" x14ac:dyDescent="0.25">
      <c r="B11" s="28"/>
      <c r="C11" s="19" t="s">
        <v>368</v>
      </c>
      <c r="D11" s="2">
        <v>25776</v>
      </c>
      <c r="E11" s="2">
        <v>21776</v>
      </c>
      <c r="F11" s="28">
        <f t="shared" si="8"/>
        <v>0.84481688392302923</v>
      </c>
      <c r="H11" s="28"/>
      <c r="I11" s="19" t="s">
        <v>55</v>
      </c>
      <c r="J11" s="2">
        <v>2275</v>
      </c>
      <c r="K11" s="2">
        <v>1743</v>
      </c>
      <c r="L11" s="2">
        <v>5438</v>
      </c>
      <c r="M11" s="2">
        <v>4738</v>
      </c>
      <c r="N11" s="2">
        <v>4502</v>
      </c>
      <c r="O11" s="2">
        <v>3654</v>
      </c>
      <c r="P11" s="2">
        <v>4602</v>
      </c>
      <c r="Q11" s="2">
        <v>3494</v>
      </c>
      <c r="R11" s="2">
        <v>3410</v>
      </c>
      <c r="S11" s="2">
        <v>2810</v>
      </c>
      <c r="T11" s="2">
        <v>3230</v>
      </c>
      <c r="U11" s="2">
        <v>2624</v>
      </c>
      <c r="V11" s="2">
        <v>2221</v>
      </c>
      <c r="W11" s="2">
        <v>1748</v>
      </c>
      <c r="X11" s="2">
        <v>25678</v>
      </c>
      <c r="Y11" s="2">
        <v>20811</v>
      </c>
      <c r="Z11" s="2"/>
      <c r="AA11" s="28"/>
      <c r="AB11" s="20" t="s">
        <v>51</v>
      </c>
      <c r="AC11" s="28">
        <f t="shared" si="0"/>
        <v>0.81908099688473524</v>
      </c>
      <c r="AD11" s="28">
        <f t="shared" si="1"/>
        <v>0.88672305994851053</v>
      </c>
      <c r="AE11" s="28">
        <f t="shared" si="2"/>
        <v>0.80796617712505558</v>
      </c>
      <c r="AF11" s="28">
        <f t="shared" si="3"/>
        <v>0.76699239956568943</v>
      </c>
      <c r="AG11" s="28">
        <f t="shared" si="4"/>
        <v>0.85196655311241876</v>
      </c>
      <c r="AH11" s="28">
        <f t="shared" si="5"/>
        <v>0.78756241488878798</v>
      </c>
      <c r="AI11" s="28">
        <f t="shared" si="6"/>
        <v>0.76296296296296295</v>
      </c>
      <c r="AJ11" s="28">
        <f>VLOOKUP($AB11,$I$8:$Y$1048576,11,FALSE)/VLOOKUP($AB11,$I$8:$Y$1048576,10,FALSE)</f>
        <v>0.8231850117096019</v>
      </c>
      <c r="AK11" s="46"/>
      <c r="AL11" s="46"/>
      <c r="AM11" s="28"/>
      <c r="AN11" s="19" t="s">
        <v>368</v>
      </c>
      <c r="AO11" s="2">
        <v>25776</v>
      </c>
      <c r="AP11" s="2">
        <v>21776</v>
      </c>
      <c r="AQ11" s="20">
        <f t="shared" si="17"/>
        <v>571.42857142857144</v>
      </c>
      <c r="AR11" s="20"/>
      <c r="AT11" s="19" t="s">
        <v>55</v>
      </c>
      <c r="AU11" s="2">
        <v>2275</v>
      </c>
      <c r="AV11" s="2">
        <v>1743</v>
      </c>
      <c r="AW11" s="2">
        <v>5438</v>
      </c>
      <c r="AX11" s="2">
        <v>4738</v>
      </c>
      <c r="AY11" s="2">
        <v>4502</v>
      </c>
      <c r="AZ11" s="2">
        <v>3654</v>
      </c>
      <c r="BA11" s="2">
        <v>4602</v>
      </c>
      <c r="BB11" s="2">
        <v>3494</v>
      </c>
      <c r="BC11" s="2">
        <v>3410</v>
      </c>
      <c r="BD11" s="2">
        <v>2810</v>
      </c>
      <c r="BE11" s="2">
        <v>3230</v>
      </c>
      <c r="BF11" s="2">
        <v>2624</v>
      </c>
      <c r="BG11" s="2">
        <v>2221</v>
      </c>
      <c r="BH11" s="2">
        <v>1748</v>
      </c>
      <c r="BI11" s="2">
        <v>25678</v>
      </c>
      <c r="BJ11" s="2">
        <v>20811</v>
      </c>
      <c r="BK11" s="2"/>
      <c r="BM11" s="20" t="s">
        <v>49</v>
      </c>
      <c r="BN11" s="25">
        <f t="shared" si="9"/>
        <v>571.42857142857144</v>
      </c>
      <c r="BO11" s="25">
        <f t="shared" si="10"/>
        <v>82.428571428571431</v>
      </c>
      <c r="BP11" s="25">
        <f t="shared" si="11"/>
        <v>101.57142857142857</v>
      </c>
      <c r="BQ11" s="25">
        <f t="shared" si="12"/>
        <v>137.57142857142858</v>
      </c>
      <c r="BR11" s="25">
        <f t="shared" si="13"/>
        <v>61.285714285714285</v>
      </c>
      <c r="BS11" s="25">
        <f t="shared" si="14"/>
        <v>55</v>
      </c>
      <c r="BT11" s="25">
        <f t="shared" si="15"/>
        <v>64.571428571428569</v>
      </c>
      <c r="BU11" s="25">
        <f t="shared" si="16"/>
        <v>69</v>
      </c>
    </row>
    <row r="12" spans="2:73" x14ac:dyDescent="0.25">
      <c r="B12" s="28"/>
      <c r="C12" s="19" t="s">
        <v>377</v>
      </c>
      <c r="D12" s="2">
        <v>25750</v>
      </c>
      <c r="E12" s="2">
        <v>21425</v>
      </c>
      <c r="F12" s="28">
        <f t="shared" si="8"/>
        <v>0.83203883495145636</v>
      </c>
      <c r="H12" s="28"/>
      <c r="I12" s="19" t="s">
        <v>56</v>
      </c>
      <c r="J12" s="2">
        <v>2286</v>
      </c>
      <c r="K12" s="2">
        <v>1822</v>
      </c>
      <c r="L12" s="2">
        <v>5379</v>
      </c>
      <c r="M12" s="2">
        <v>4776</v>
      </c>
      <c r="N12" s="2">
        <v>4517</v>
      </c>
      <c r="O12" s="2">
        <v>3644</v>
      </c>
      <c r="P12" s="2">
        <v>4604</v>
      </c>
      <c r="Q12" s="2">
        <v>3438</v>
      </c>
      <c r="R12" s="2">
        <v>3409</v>
      </c>
      <c r="S12" s="2">
        <v>2839</v>
      </c>
      <c r="T12" s="2">
        <v>3245</v>
      </c>
      <c r="U12" s="2">
        <v>2755</v>
      </c>
      <c r="V12" s="2">
        <v>2226</v>
      </c>
      <c r="W12" s="2">
        <v>1708</v>
      </c>
      <c r="X12" s="2">
        <v>25666</v>
      </c>
      <c r="Y12" s="2">
        <v>20982</v>
      </c>
      <c r="Z12" s="2"/>
      <c r="AA12" s="28"/>
      <c r="AB12" s="20" t="s">
        <v>52</v>
      </c>
      <c r="AC12" s="28">
        <f t="shared" si="0"/>
        <v>0.82227857978930941</v>
      </c>
      <c r="AD12" s="28">
        <f t="shared" si="1"/>
        <v>0.88028039107175793</v>
      </c>
      <c r="AE12" s="28">
        <f t="shared" si="2"/>
        <v>0.82107623318385647</v>
      </c>
      <c r="AF12" s="28">
        <f t="shared" si="3"/>
        <v>0.76089312811619336</v>
      </c>
      <c r="AG12" s="28">
        <f t="shared" si="4"/>
        <v>0.84006211180124224</v>
      </c>
      <c r="AH12" s="28">
        <f t="shared" si="5"/>
        <v>0.80405405405405406</v>
      </c>
      <c r="AI12" s="28">
        <f t="shared" si="6"/>
        <v>0.79004801396769975</v>
      </c>
      <c r="AJ12" s="28">
        <f t="shared" si="7"/>
        <v>0.83142437591776797</v>
      </c>
      <c r="AK12" s="46"/>
      <c r="AL12" s="46"/>
      <c r="AM12" s="28"/>
      <c r="AN12" s="19" t="s">
        <v>377</v>
      </c>
      <c r="AO12" s="2">
        <v>25750</v>
      </c>
      <c r="AP12" s="2">
        <v>21425</v>
      </c>
      <c r="AQ12" s="20">
        <f t="shared" si="17"/>
        <v>617.85714285714289</v>
      </c>
      <c r="AR12" s="20"/>
      <c r="AT12" s="19" t="s">
        <v>56</v>
      </c>
      <c r="AU12" s="2">
        <v>2286</v>
      </c>
      <c r="AV12" s="2">
        <v>1822</v>
      </c>
      <c r="AW12" s="2">
        <v>5379</v>
      </c>
      <c r="AX12" s="2">
        <v>4776</v>
      </c>
      <c r="AY12" s="2">
        <v>4517</v>
      </c>
      <c r="AZ12" s="2">
        <v>3644</v>
      </c>
      <c r="BA12" s="2">
        <v>4604</v>
      </c>
      <c r="BB12" s="2">
        <v>3438</v>
      </c>
      <c r="BC12" s="2">
        <v>3409</v>
      </c>
      <c r="BD12" s="2">
        <v>2839</v>
      </c>
      <c r="BE12" s="2">
        <v>3245</v>
      </c>
      <c r="BF12" s="2">
        <v>2755</v>
      </c>
      <c r="BG12" s="2">
        <v>2226</v>
      </c>
      <c r="BH12" s="2">
        <v>1708</v>
      </c>
      <c r="BI12" s="2">
        <v>25666</v>
      </c>
      <c r="BJ12" s="2">
        <v>20982</v>
      </c>
      <c r="BK12" s="2"/>
      <c r="BM12" s="20" t="s">
        <v>50</v>
      </c>
      <c r="BN12" s="25">
        <f t="shared" si="9"/>
        <v>617.85714285714289</v>
      </c>
      <c r="BO12" s="25">
        <f t="shared" si="10"/>
        <v>79.142857142857139</v>
      </c>
      <c r="BP12" s="25">
        <f t="shared" si="11"/>
        <v>126.57142857142857</v>
      </c>
      <c r="BQ12" s="25">
        <f>(VLOOKUP($BM12,$AT$8:$BJ$1048576,8,FALSE)-VLOOKUP($BM12,$AT$8:$BJ$1048576,9,FALSE))/7</f>
        <v>146.14285714285714</v>
      </c>
      <c r="BR12" s="25">
        <f t="shared" si="13"/>
        <v>62.857142857142854</v>
      </c>
      <c r="BS12" s="25">
        <f t="shared" si="14"/>
        <v>53</v>
      </c>
      <c r="BT12" s="25">
        <f t="shared" si="15"/>
        <v>71.714285714285708</v>
      </c>
      <c r="BU12" s="25">
        <f t="shared" si="16"/>
        <v>78.428571428571431</v>
      </c>
    </row>
    <row r="13" spans="2:73" x14ac:dyDescent="0.25">
      <c r="B13" s="28"/>
      <c r="C13" s="19" t="s">
        <v>386</v>
      </c>
      <c r="D13" s="2">
        <v>25680</v>
      </c>
      <c r="E13" s="2">
        <v>21034</v>
      </c>
      <c r="F13" s="28">
        <f t="shared" si="8"/>
        <v>0.81908099688473524</v>
      </c>
      <c r="H13" s="28"/>
      <c r="I13" s="19" t="s">
        <v>45</v>
      </c>
      <c r="J13" s="2">
        <v>2337</v>
      </c>
      <c r="K13" s="2">
        <v>1792</v>
      </c>
      <c r="L13" s="2">
        <v>5405</v>
      </c>
      <c r="M13" s="2">
        <v>4884</v>
      </c>
      <c r="N13" s="2">
        <v>4506</v>
      </c>
      <c r="O13" s="2">
        <v>3769</v>
      </c>
      <c r="P13" s="2">
        <v>4598</v>
      </c>
      <c r="Q13" s="2">
        <v>3692</v>
      </c>
      <c r="R13" s="2">
        <v>3422</v>
      </c>
      <c r="S13" s="2">
        <v>2860</v>
      </c>
      <c r="T13" s="2">
        <v>3211</v>
      </c>
      <c r="U13" s="2">
        <v>2730</v>
      </c>
      <c r="V13" s="2">
        <v>2234</v>
      </c>
      <c r="W13" s="2">
        <v>1817</v>
      </c>
      <c r="X13" s="2">
        <v>25713</v>
      </c>
      <c r="Y13" s="2">
        <v>21544</v>
      </c>
      <c r="Z13" s="2"/>
      <c r="AA13" s="28"/>
      <c r="AB13" s="20" t="s">
        <v>53</v>
      </c>
      <c r="AC13" s="28">
        <f t="shared" si="0"/>
        <v>0.81373885275906388</v>
      </c>
      <c r="AD13" s="28">
        <f t="shared" si="1"/>
        <v>0.85373961218836569</v>
      </c>
      <c r="AE13" s="28">
        <f t="shared" si="2"/>
        <v>0.81771871539313401</v>
      </c>
      <c r="AF13" s="28">
        <f t="shared" si="3"/>
        <v>0.76612377850162872</v>
      </c>
      <c r="AG13" s="28">
        <f t="shared" si="4"/>
        <v>0.83137376237623761</v>
      </c>
      <c r="AH13" s="28">
        <f t="shared" si="5"/>
        <v>0.80271493212669687</v>
      </c>
      <c r="AI13" s="28">
        <f t="shared" si="6"/>
        <v>0.76462882096069873</v>
      </c>
      <c r="AJ13" s="28">
        <f>VLOOKUP($AB13,$I$8:$Y$1048576,11,FALSE)/VLOOKUP($AB13,$I$8:$Y$1048576,10,FALSE)</f>
        <v>0.83264947245017584</v>
      </c>
      <c r="AK13" s="46"/>
      <c r="AL13" s="46"/>
      <c r="AM13" s="28"/>
      <c r="AN13" s="19" t="s">
        <v>386</v>
      </c>
      <c r="AO13" s="2">
        <v>25680</v>
      </c>
      <c r="AP13" s="2">
        <v>21034</v>
      </c>
      <c r="AQ13" s="20">
        <f t="shared" si="17"/>
        <v>663.71428571428567</v>
      </c>
      <c r="AR13" s="20"/>
      <c r="AT13" s="19" t="s">
        <v>45</v>
      </c>
      <c r="AU13" s="2">
        <v>2337</v>
      </c>
      <c r="AV13" s="2">
        <v>1792</v>
      </c>
      <c r="AW13" s="2">
        <v>5405</v>
      </c>
      <c r="AX13" s="2">
        <v>4884</v>
      </c>
      <c r="AY13" s="2">
        <v>4506</v>
      </c>
      <c r="AZ13" s="2">
        <v>3769</v>
      </c>
      <c r="BA13" s="2">
        <v>4598</v>
      </c>
      <c r="BB13" s="2">
        <v>3692</v>
      </c>
      <c r="BC13" s="2">
        <v>3422</v>
      </c>
      <c r="BD13" s="2">
        <v>2860</v>
      </c>
      <c r="BE13" s="2">
        <v>3211</v>
      </c>
      <c r="BF13" s="2">
        <v>2730</v>
      </c>
      <c r="BG13" s="2">
        <v>2234</v>
      </c>
      <c r="BH13" s="2">
        <v>1817</v>
      </c>
      <c r="BI13" s="2">
        <v>25713</v>
      </c>
      <c r="BJ13" s="2">
        <v>21544</v>
      </c>
      <c r="BK13" s="2"/>
      <c r="BM13" s="20" t="s">
        <v>51</v>
      </c>
      <c r="BN13" s="25">
        <f t="shared" si="9"/>
        <v>663.71428571428567</v>
      </c>
      <c r="BO13" s="25">
        <f t="shared" si="10"/>
        <v>88</v>
      </c>
      <c r="BP13" s="25">
        <f t="shared" si="11"/>
        <v>123.28571428571429</v>
      </c>
      <c r="BQ13" s="25">
        <f t="shared" si="12"/>
        <v>153.28571428571428</v>
      </c>
      <c r="BR13" s="25">
        <f t="shared" si="13"/>
        <v>68.285714285714292</v>
      </c>
      <c r="BS13" s="25">
        <f t="shared" si="14"/>
        <v>66.857142857142861</v>
      </c>
      <c r="BT13" s="25">
        <f t="shared" si="15"/>
        <v>77.714285714285708</v>
      </c>
      <c r="BU13" s="25">
        <f t="shared" si="16"/>
        <v>86.285714285714292</v>
      </c>
    </row>
    <row r="14" spans="2:73" x14ac:dyDescent="0.25">
      <c r="B14" s="28"/>
      <c r="C14" s="19" t="s">
        <v>395</v>
      </c>
      <c r="D14" s="2">
        <v>25630</v>
      </c>
      <c r="E14" s="2">
        <v>21075</v>
      </c>
      <c r="F14" s="28">
        <f t="shared" si="8"/>
        <v>0.82227857978930941</v>
      </c>
      <c r="H14" s="28"/>
      <c r="I14" s="19" t="s">
        <v>46</v>
      </c>
      <c r="J14" s="2">
        <v>2345</v>
      </c>
      <c r="K14" s="2">
        <v>1831</v>
      </c>
      <c r="L14" s="2">
        <v>5403</v>
      </c>
      <c r="M14" s="2">
        <v>4881</v>
      </c>
      <c r="N14" s="2">
        <v>4497</v>
      </c>
      <c r="O14" s="2">
        <v>3792</v>
      </c>
      <c r="P14" s="2">
        <v>4600</v>
      </c>
      <c r="Q14" s="2">
        <v>3654</v>
      </c>
      <c r="R14" s="2">
        <v>3414</v>
      </c>
      <c r="S14" s="2">
        <v>2874</v>
      </c>
      <c r="T14" s="2">
        <v>3200</v>
      </c>
      <c r="U14" s="2">
        <v>2746</v>
      </c>
      <c r="V14" s="2">
        <v>2221</v>
      </c>
      <c r="W14" s="2">
        <v>1825</v>
      </c>
      <c r="X14" s="2">
        <v>25680</v>
      </c>
      <c r="Y14" s="2">
        <v>21603</v>
      </c>
      <c r="Z14" s="2"/>
      <c r="AA14" s="28"/>
      <c r="AB14" s="20" t="s">
        <v>54</v>
      </c>
      <c r="AC14" s="28">
        <f t="shared" si="0"/>
        <v>0.81617332451670621</v>
      </c>
      <c r="AD14" s="28">
        <f t="shared" si="1"/>
        <v>0.89415857901483242</v>
      </c>
      <c r="AE14" s="28">
        <f t="shared" si="2"/>
        <v>0.81040231162480547</v>
      </c>
      <c r="AF14" s="28">
        <f t="shared" si="3"/>
        <v>0.76427176036466249</v>
      </c>
      <c r="AG14" s="28">
        <f t="shared" si="4"/>
        <v>0.8294859956909818</v>
      </c>
      <c r="AH14" s="28">
        <f t="shared" si="5"/>
        <v>0.79873646209386284</v>
      </c>
      <c r="AI14" s="28">
        <f t="shared" si="6"/>
        <v>0.74505494505494507</v>
      </c>
      <c r="AJ14" s="28">
        <f t="shared" si="7"/>
        <v>0.81510875955320394</v>
      </c>
      <c r="AK14" s="46"/>
      <c r="AL14" s="46"/>
      <c r="AM14" s="28"/>
      <c r="AN14" s="19" t="s">
        <v>395</v>
      </c>
      <c r="AO14" s="2">
        <v>25630</v>
      </c>
      <c r="AP14" s="2">
        <v>21075</v>
      </c>
      <c r="AQ14" s="20">
        <f t="shared" si="17"/>
        <v>650.71428571428567</v>
      </c>
      <c r="AR14" s="20"/>
      <c r="AT14" s="19" t="s">
        <v>46</v>
      </c>
      <c r="AU14" s="2">
        <v>2345</v>
      </c>
      <c r="AV14" s="2">
        <v>1831</v>
      </c>
      <c r="AW14" s="2">
        <v>5403</v>
      </c>
      <c r="AX14" s="2">
        <v>4881</v>
      </c>
      <c r="AY14" s="2">
        <v>4497</v>
      </c>
      <c r="AZ14" s="2">
        <v>3792</v>
      </c>
      <c r="BA14" s="2">
        <v>4600</v>
      </c>
      <c r="BB14" s="2">
        <v>3654</v>
      </c>
      <c r="BC14" s="2">
        <v>3414</v>
      </c>
      <c r="BD14" s="2">
        <v>2874</v>
      </c>
      <c r="BE14" s="2">
        <v>3200</v>
      </c>
      <c r="BF14" s="2">
        <v>2746</v>
      </c>
      <c r="BG14" s="2">
        <v>2221</v>
      </c>
      <c r="BH14" s="2">
        <v>1825</v>
      </c>
      <c r="BI14" s="2">
        <v>25680</v>
      </c>
      <c r="BJ14" s="2">
        <v>21603</v>
      </c>
      <c r="BK14" s="2"/>
      <c r="BM14" s="20" t="s">
        <v>52</v>
      </c>
      <c r="BN14" s="25">
        <f t="shared" si="9"/>
        <v>650.71428571428567</v>
      </c>
      <c r="BO14" s="25">
        <f t="shared" si="10"/>
        <v>92.714285714285708</v>
      </c>
      <c r="BP14" s="25">
        <f t="shared" si="11"/>
        <v>114</v>
      </c>
      <c r="BQ14" s="25">
        <f t="shared" si="12"/>
        <v>157.57142857142858</v>
      </c>
      <c r="BR14" s="25">
        <f t="shared" si="13"/>
        <v>73.571428571428569</v>
      </c>
      <c r="BS14" s="25">
        <f t="shared" si="14"/>
        <v>62.142857142857146</v>
      </c>
      <c r="BT14" s="25">
        <f t="shared" si="15"/>
        <v>68.714285714285708</v>
      </c>
      <c r="BU14" s="25">
        <f t="shared" si="16"/>
        <v>82</v>
      </c>
    </row>
    <row r="15" spans="2:73" x14ac:dyDescent="0.25">
      <c r="B15" s="28"/>
      <c r="C15" s="19" t="s">
        <v>404</v>
      </c>
      <c r="D15" s="2">
        <v>25679</v>
      </c>
      <c r="E15" s="2">
        <v>20896</v>
      </c>
      <c r="F15" s="28">
        <f t="shared" si="8"/>
        <v>0.81373885275906388</v>
      </c>
      <c r="H15" s="28"/>
      <c r="I15" s="19" t="s">
        <v>47</v>
      </c>
      <c r="J15" s="2">
        <v>2336</v>
      </c>
      <c r="K15" s="2">
        <v>1678</v>
      </c>
      <c r="L15" s="2">
        <v>5409</v>
      </c>
      <c r="M15" s="2">
        <v>4582</v>
      </c>
      <c r="N15" s="2">
        <v>4444</v>
      </c>
      <c r="O15" s="2">
        <v>3495</v>
      </c>
      <c r="P15" s="2">
        <v>4590</v>
      </c>
      <c r="Q15" s="2">
        <v>3412</v>
      </c>
      <c r="R15" s="2">
        <v>3389</v>
      </c>
      <c r="S15" s="2">
        <v>2692</v>
      </c>
      <c r="T15" s="2">
        <v>3192</v>
      </c>
      <c r="U15" s="2">
        <v>2534</v>
      </c>
      <c r="V15" s="2">
        <v>2198</v>
      </c>
      <c r="W15" s="2">
        <v>1699</v>
      </c>
      <c r="X15" s="2">
        <v>25558</v>
      </c>
      <c r="Y15" s="2">
        <v>20092</v>
      </c>
      <c r="Z15" s="2"/>
      <c r="AA15" s="28"/>
      <c r="AB15" s="20" t="s">
        <v>55</v>
      </c>
      <c r="AC15" s="28">
        <f t="shared" si="0"/>
        <v>0.81046031622400494</v>
      </c>
      <c r="AD15" s="28">
        <f t="shared" si="1"/>
        <v>0.87127620448694376</v>
      </c>
      <c r="AE15" s="28">
        <f t="shared" si="2"/>
        <v>0.81163927143491776</v>
      </c>
      <c r="AF15" s="28">
        <f t="shared" si="3"/>
        <v>0.75923511516731856</v>
      </c>
      <c r="AG15" s="28">
        <f t="shared" si="4"/>
        <v>0.81238390092879254</v>
      </c>
      <c r="AH15" s="28">
        <f t="shared" si="5"/>
        <v>0.78703286807744255</v>
      </c>
      <c r="AI15" s="28">
        <f t="shared" si="6"/>
        <v>0.76615384615384619</v>
      </c>
      <c r="AJ15" s="28">
        <f>VLOOKUP($AB15,$I$8:$Y$1048576,11,FALSE)/VLOOKUP($AB15,$I$8:$Y$1048576,10,FALSE)</f>
        <v>0.82404692082111441</v>
      </c>
      <c r="AK15" s="46"/>
      <c r="AL15" s="46"/>
      <c r="AM15" s="28"/>
      <c r="AN15" s="19" t="s">
        <v>404</v>
      </c>
      <c r="AO15" s="2">
        <v>25679</v>
      </c>
      <c r="AP15" s="2">
        <v>20896</v>
      </c>
      <c r="AQ15" s="20">
        <f t="shared" si="17"/>
        <v>683.28571428571433</v>
      </c>
      <c r="AR15" s="20"/>
      <c r="AT15" s="19" t="s">
        <v>47</v>
      </c>
      <c r="AU15" s="2">
        <v>2336</v>
      </c>
      <c r="AV15" s="2">
        <v>1678</v>
      </c>
      <c r="AW15" s="2">
        <v>5409</v>
      </c>
      <c r="AX15" s="2">
        <v>4582</v>
      </c>
      <c r="AY15" s="2">
        <v>4444</v>
      </c>
      <c r="AZ15" s="2">
        <v>3495</v>
      </c>
      <c r="BA15" s="2">
        <v>4590</v>
      </c>
      <c r="BB15" s="2">
        <v>3412</v>
      </c>
      <c r="BC15" s="2">
        <v>3389</v>
      </c>
      <c r="BD15" s="2">
        <v>2692</v>
      </c>
      <c r="BE15" s="2">
        <v>3192</v>
      </c>
      <c r="BF15" s="2">
        <v>2534</v>
      </c>
      <c r="BG15" s="2">
        <v>2198</v>
      </c>
      <c r="BH15" s="2">
        <v>1699</v>
      </c>
      <c r="BI15" s="2">
        <v>25558</v>
      </c>
      <c r="BJ15" s="2">
        <v>20092</v>
      </c>
      <c r="BK15" s="2"/>
      <c r="BM15" s="20" t="s">
        <v>53</v>
      </c>
      <c r="BN15" s="25">
        <f t="shared" si="9"/>
        <v>683.28571428571433</v>
      </c>
      <c r="BO15" s="25">
        <f t="shared" si="10"/>
        <v>113.14285714285714</v>
      </c>
      <c r="BP15" s="25">
        <f t="shared" si="11"/>
        <v>117.57142857142857</v>
      </c>
      <c r="BQ15" s="25">
        <f t="shared" si="12"/>
        <v>153.85714285714286</v>
      </c>
      <c r="BR15" s="25">
        <f t="shared" si="13"/>
        <v>77.857142857142861</v>
      </c>
      <c r="BS15" s="25">
        <f t="shared" si="14"/>
        <v>62.285714285714285</v>
      </c>
      <c r="BT15" s="25">
        <f t="shared" si="15"/>
        <v>77</v>
      </c>
      <c r="BU15" s="25">
        <f t="shared" si="16"/>
        <v>81.571428571428569</v>
      </c>
    </row>
    <row r="16" spans="2:73" x14ac:dyDescent="0.25">
      <c r="B16" s="28"/>
      <c r="C16" s="19" t="s">
        <v>413</v>
      </c>
      <c r="D16" s="2">
        <v>25709</v>
      </c>
      <c r="E16" s="2">
        <v>20983</v>
      </c>
      <c r="F16" s="28">
        <f t="shared" si="8"/>
        <v>0.81617332451670621</v>
      </c>
      <c r="H16" s="28"/>
      <c r="I16" s="19" t="s">
        <v>48</v>
      </c>
      <c r="J16" s="2">
        <v>2300</v>
      </c>
      <c r="K16" s="2">
        <v>1761</v>
      </c>
      <c r="L16" s="2">
        <v>5391</v>
      </c>
      <c r="M16" s="2">
        <v>4626</v>
      </c>
      <c r="N16" s="2">
        <v>4550</v>
      </c>
      <c r="O16" s="2">
        <v>3733</v>
      </c>
      <c r="P16" s="2">
        <v>4614</v>
      </c>
      <c r="Q16" s="2">
        <v>3593</v>
      </c>
      <c r="R16" s="2">
        <v>3419</v>
      </c>
      <c r="S16" s="2">
        <v>2904</v>
      </c>
      <c r="T16" s="2">
        <v>3226</v>
      </c>
      <c r="U16" s="2">
        <v>2757</v>
      </c>
      <c r="V16" s="2">
        <v>2167</v>
      </c>
      <c r="W16" s="2">
        <v>1764</v>
      </c>
      <c r="X16" s="2">
        <v>25667</v>
      </c>
      <c r="Y16" s="2">
        <v>21138</v>
      </c>
      <c r="Z16" s="2"/>
      <c r="AA16" s="28"/>
      <c r="AB16" s="20" t="s">
        <v>56</v>
      </c>
      <c r="AC16" s="28">
        <f t="shared" si="0"/>
        <v>0.81750175329229335</v>
      </c>
      <c r="AD16" s="28">
        <f t="shared" si="1"/>
        <v>0.88789737869492469</v>
      </c>
      <c r="AE16" s="28">
        <f t="shared" si="2"/>
        <v>0.80673013061766663</v>
      </c>
      <c r="AF16" s="28">
        <f t="shared" si="3"/>
        <v>0.74674196350999134</v>
      </c>
      <c r="AG16" s="28">
        <f t="shared" si="4"/>
        <v>0.84899845916795069</v>
      </c>
      <c r="AH16" s="28">
        <f t="shared" si="5"/>
        <v>0.76729559748427678</v>
      </c>
      <c r="AI16" s="28">
        <f t="shared" si="6"/>
        <v>0.7970253718285214</v>
      </c>
      <c r="AJ16" s="28">
        <f t="shared" si="7"/>
        <v>0.83279554121443233</v>
      </c>
      <c r="AK16" s="46"/>
      <c r="AL16" s="46"/>
      <c r="AM16" s="28"/>
      <c r="AN16" s="19" t="s">
        <v>413</v>
      </c>
      <c r="AO16" s="2">
        <v>25709</v>
      </c>
      <c r="AP16" s="2">
        <v>20983</v>
      </c>
      <c r="AQ16" s="20">
        <f t="shared" si="17"/>
        <v>675.14285714285711</v>
      </c>
      <c r="AR16" s="20"/>
      <c r="AT16" s="19" t="s">
        <v>48</v>
      </c>
      <c r="AU16" s="2">
        <v>2300</v>
      </c>
      <c r="AV16" s="2">
        <v>1761</v>
      </c>
      <c r="AW16" s="2">
        <v>5391</v>
      </c>
      <c r="AX16" s="2">
        <v>4626</v>
      </c>
      <c r="AY16" s="2">
        <v>4550</v>
      </c>
      <c r="AZ16" s="2">
        <v>3733</v>
      </c>
      <c r="BA16" s="2">
        <v>4614</v>
      </c>
      <c r="BB16" s="2">
        <v>3593</v>
      </c>
      <c r="BC16" s="2">
        <v>3419</v>
      </c>
      <c r="BD16" s="2">
        <v>2904</v>
      </c>
      <c r="BE16" s="2">
        <v>3226</v>
      </c>
      <c r="BF16" s="2">
        <v>2757</v>
      </c>
      <c r="BG16" s="2">
        <v>2167</v>
      </c>
      <c r="BH16" s="2">
        <v>1764</v>
      </c>
      <c r="BI16" s="2">
        <v>25667</v>
      </c>
      <c r="BJ16" s="2">
        <v>21138</v>
      </c>
      <c r="BK16" s="2"/>
      <c r="BM16" s="20" t="s">
        <v>54</v>
      </c>
      <c r="BN16" s="25">
        <f t="shared" si="9"/>
        <v>675.14285714285711</v>
      </c>
      <c r="BO16" s="25">
        <f t="shared" si="10"/>
        <v>82.571428571428569</v>
      </c>
      <c r="BP16" s="25">
        <f t="shared" si="11"/>
        <v>121.85714285714286</v>
      </c>
      <c r="BQ16" s="25">
        <f t="shared" si="12"/>
        <v>155.14285714285714</v>
      </c>
      <c r="BR16" s="25">
        <f t="shared" si="13"/>
        <v>79.142857142857139</v>
      </c>
      <c r="BS16" s="25">
        <f t="shared" si="14"/>
        <v>63.714285714285715</v>
      </c>
      <c r="BT16" s="25">
        <f t="shared" si="15"/>
        <v>82.857142857142861</v>
      </c>
      <c r="BU16" s="25">
        <f t="shared" si="16"/>
        <v>89.857142857142861</v>
      </c>
    </row>
    <row r="17" spans="2:73" x14ac:dyDescent="0.25">
      <c r="B17" s="28"/>
      <c r="C17" s="19" t="s">
        <v>422</v>
      </c>
      <c r="D17" s="2">
        <v>25678</v>
      </c>
      <c r="E17" s="2">
        <v>20811</v>
      </c>
      <c r="F17" s="28">
        <f t="shared" si="8"/>
        <v>0.81046031622400494</v>
      </c>
      <c r="H17" s="28"/>
      <c r="I17" s="19" t="s">
        <v>49</v>
      </c>
      <c r="J17" s="2">
        <v>2310</v>
      </c>
      <c r="K17" s="2">
        <v>1858</v>
      </c>
      <c r="L17" s="2">
        <v>5464</v>
      </c>
      <c r="M17" s="2">
        <v>4887</v>
      </c>
      <c r="N17" s="2">
        <v>4529</v>
      </c>
      <c r="O17" s="2">
        <v>3818</v>
      </c>
      <c r="P17" s="2">
        <v>4604</v>
      </c>
      <c r="Q17" s="2">
        <v>3641</v>
      </c>
      <c r="R17" s="2">
        <v>3411</v>
      </c>
      <c r="S17" s="2">
        <v>2928</v>
      </c>
      <c r="T17" s="2">
        <v>3238</v>
      </c>
      <c r="U17" s="2">
        <v>2809</v>
      </c>
      <c r="V17" s="2">
        <v>2220</v>
      </c>
      <c r="W17" s="2">
        <v>1835</v>
      </c>
      <c r="X17" s="2">
        <v>25776</v>
      </c>
      <c r="Y17" s="2">
        <v>21776</v>
      </c>
      <c r="Z17" s="2"/>
      <c r="AA17" s="28"/>
      <c r="AB17" s="20"/>
      <c r="AC17" s="28"/>
      <c r="AD17" s="28"/>
      <c r="AE17" s="28"/>
      <c r="AF17" s="28"/>
      <c r="AG17" s="28"/>
      <c r="AH17" s="28"/>
      <c r="AI17" s="46"/>
      <c r="AJ17" s="46"/>
      <c r="AK17" s="46"/>
      <c r="AL17" s="46"/>
      <c r="AM17" s="28"/>
      <c r="AN17" s="19" t="s">
        <v>422</v>
      </c>
      <c r="AO17" s="2">
        <v>25678</v>
      </c>
      <c r="AP17" s="2">
        <v>20811</v>
      </c>
      <c r="AQ17" s="20">
        <f t="shared" si="17"/>
        <v>695.28571428571433</v>
      </c>
      <c r="AR17" s="20"/>
      <c r="AT17" s="19" t="s">
        <v>49</v>
      </c>
      <c r="AU17" s="2">
        <v>2310</v>
      </c>
      <c r="AV17" s="2">
        <v>1858</v>
      </c>
      <c r="AW17" s="2">
        <v>5464</v>
      </c>
      <c r="AX17" s="2">
        <v>4887</v>
      </c>
      <c r="AY17" s="2">
        <v>4529</v>
      </c>
      <c r="AZ17" s="2">
        <v>3818</v>
      </c>
      <c r="BA17" s="2">
        <v>4604</v>
      </c>
      <c r="BB17" s="2">
        <v>3641</v>
      </c>
      <c r="BC17" s="2">
        <v>3411</v>
      </c>
      <c r="BD17" s="2">
        <v>2928</v>
      </c>
      <c r="BE17" s="2">
        <v>3238</v>
      </c>
      <c r="BF17" s="2">
        <v>2809</v>
      </c>
      <c r="BG17" s="2">
        <v>2220</v>
      </c>
      <c r="BH17" s="2">
        <v>1835</v>
      </c>
      <c r="BI17" s="2">
        <v>25776</v>
      </c>
      <c r="BJ17" s="2">
        <v>21776</v>
      </c>
      <c r="BK17" s="2"/>
      <c r="BM17" s="20" t="s">
        <v>55</v>
      </c>
      <c r="BN17" s="25">
        <f t="shared" si="9"/>
        <v>695.28571428571433</v>
      </c>
      <c r="BO17" s="25">
        <f t="shared" si="10"/>
        <v>100</v>
      </c>
      <c r="BP17" s="25">
        <f t="shared" si="11"/>
        <v>121.14285714285714</v>
      </c>
      <c r="BQ17" s="25">
        <f t="shared" si="12"/>
        <v>158.28571428571428</v>
      </c>
      <c r="BR17" s="25">
        <f t="shared" si="13"/>
        <v>86.571428571428569</v>
      </c>
      <c r="BS17" s="25">
        <f t="shared" si="14"/>
        <v>67.571428571428569</v>
      </c>
      <c r="BT17" s="25">
        <f t="shared" si="15"/>
        <v>76</v>
      </c>
      <c r="BU17" s="25">
        <f t="shared" si="16"/>
        <v>85.714285714285708</v>
      </c>
    </row>
    <row r="18" spans="2:73" x14ac:dyDescent="0.25">
      <c r="B18" s="28"/>
      <c r="C18" s="19" t="s">
        <v>431</v>
      </c>
      <c r="D18" s="2">
        <v>25666</v>
      </c>
      <c r="E18" s="2">
        <v>20982</v>
      </c>
      <c r="F18" s="28">
        <f t="shared" si="8"/>
        <v>0.81750175329229335</v>
      </c>
      <c r="H18" s="28"/>
      <c r="I18" s="19" t="s">
        <v>50</v>
      </c>
      <c r="J18" s="2">
        <v>2297</v>
      </c>
      <c r="K18" s="2">
        <v>1795</v>
      </c>
      <c r="L18" s="2">
        <v>5440</v>
      </c>
      <c r="M18" s="2">
        <v>4886</v>
      </c>
      <c r="N18" s="2">
        <v>4532</v>
      </c>
      <c r="O18" s="2">
        <v>3646</v>
      </c>
      <c r="P18" s="2">
        <v>4618</v>
      </c>
      <c r="Q18" s="2">
        <v>3595</v>
      </c>
      <c r="R18" s="2">
        <v>3409</v>
      </c>
      <c r="S18" s="2">
        <v>2860</v>
      </c>
      <c r="T18" s="2">
        <v>3229</v>
      </c>
      <c r="U18" s="2">
        <v>2789</v>
      </c>
      <c r="V18" s="2">
        <v>2225</v>
      </c>
      <c r="W18" s="2">
        <v>1854</v>
      </c>
      <c r="X18" s="2">
        <v>25750</v>
      </c>
      <c r="Y18" s="2">
        <v>21425</v>
      </c>
      <c r="Z18" s="2"/>
      <c r="AA18" s="28"/>
      <c r="AB18" s="28"/>
      <c r="AC18" s="28"/>
      <c r="AD18" s="28"/>
      <c r="AE18" s="28"/>
      <c r="AF18" s="28"/>
      <c r="AG18" s="28"/>
      <c r="AH18" s="28"/>
      <c r="AI18" s="28"/>
      <c r="AJ18" s="28"/>
      <c r="AK18" s="28"/>
      <c r="AL18" s="28"/>
      <c r="AM18" s="28"/>
      <c r="AN18" s="19" t="s">
        <v>431</v>
      </c>
      <c r="AO18" s="2">
        <v>25666</v>
      </c>
      <c r="AP18" s="2">
        <v>20982</v>
      </c>
      <c r="AQ18" s="20">
        <f t="shared" si="17"/>
        <v>669.14285714285711</v>
      </c>
      <c r="AR18" s="20"/>
      <c r="AT18" s="19" t="s">
        <v>50</v>
      </c>
      <c r="AU18" s="2">
        <v>2297</v>
      </c>
      <c r="AV18" s="2">
        <v>1795</v>
      </c>
      <c r="AW18" s="2">
        <v>5440</v>
      </c>
      <c r="AX18" s="2">
        <v>4886</v>
      </c>
      <c r="AY18" s="2">
        <v>4532</v>
      </c>
      <c r="AZ18" s="2">
        <v>3646</v>
      </c>
      <c r="BA18" s="2">
        <v>4618</v>
      </c>
      <c r="BB18" s="2">
        <v>3595</v>
      </c>
      <c r="BC18" s="2">
        <v>3409</v>
      </c>
      <c r="BD18" s="2">
        <v>2860</v>
      </c>
      <c r="BE18" s="2">
        <v>3229</v>
      </c>
      <c r="BF18" s="2">
        <v>2789</v>
      </c>
      <c r="BG18" s="2">
        <v>2225</v>
      </c>
      <c r="BH18" s="2">
        <v>1854</v>
      </c>
      <c r="BI18" s="2">
        <v>25750</v>
      </c>
      <c r="BJ18" s="2">
        <v>21425</v>
      </c>
      <c r="BK18" s="2"/>
      <c r="BM18" s="20" t="s">
        <v>56</v>
      </c>
      <c r="BN18" s="25">
        <f t="shared" si="9"/>
        <v>669.14285714285711</v>
      </c>
      <c r="BO18" s="25">
        <f t="shared" si="10"/>
        <v>86.142857142857139</v>
      </c>
      <c r="BP18" s="25">
        <f t="shared" si="11"/>
        <v>124.71428571428571</v>
      </c>
      <c r="BQ18" s="25">
        <f t="shared" si="12"/>
        <v>166.57142857142858</v>
      </c>
      <c r="BR18" s="25">
        <f t="shared" si="13"/>
        <v>70</v>
      </c>
      <c r="BS18" s="25">
        <f t="shared" si="14"/>
        <v>74</v>
      </c>
      <c r="BT18" s="25">
        <f t="shared" si="15"/>
        <v>66.285714285714292</v>
      </c>
      <c r="BU18" s="25">
        <f>(VLOOKUP($BM18,$AT$8:$BJ$1048576,10,FALSE)-VLOOKUP($BM18,$AT$8:$BJ$1048576,11,FALSE))/7</f>
        <v>81.428571428571431</v>
      </c>
    </row>
    <row r="19" spans="2:73" x14ac:dyDescent="0.25">
      <c r="B19" s="28"/>
      <c r="C19"/>
      <c r="D19"/>
      <c r="E19"/>
      <c r="F19" s="28" t="e">
        <f t="shared" si="8"/>
        <v>#DIV/0!</v>
      </c>
      <c r="H19" s="28"/>
      <c r="I19" s="19" t="s">
        <v>51</v>
      </c>
      <c r="J19" s="2">
        <v>2295</v>
      </c>
      <c r="K19" s="2">
        <v>1751</v>
      </c>
      <c r="L19" s="2">
        <v>5438</v>
      </c>
      <c r="M19" s="2">
        <v>4822</v>
      </c>
      <c r="N19" s="2">
        <v>4494</v>
      </c>
      <c r="O19" s="2">
        <v>3631</v>
      </c>
      <c r="P19" s="2">
        <v>4605</v>
      </c>
      <c r="Q19" s="2">
        <v>3532</v>
      </c>
      <c r="R19" s="2">
        <v>3416</v>
      </c>
      <c r="S19" s="2">
        <v>2812</v>
      </c>
      <c r="T19" s="2">
        <v>3229</v>
      </c>
      <c r="U19" s="2">
        <v>2751</v>
      </c>
      <c r="V19" s="2">
        <v>2203</v>
      </c>
      <c r="W19" s="2">
        <v>1735</v>
      </c>
      <c r="X19" s="2">
        <v>25680</v>
      </c>
      <c r="Y19" s="2">
        <v>21034</v>
      </c>
      <c r="Z19" s="2"/>
      <c r="AA19" s="28"/>
      <c r="AB19" s="28"/>
      <c r="AC19" s="28"/>
      <c r="AD19" s="28"/>
      <c r="AE19" s="28"/>
      <c r="AF19" s="28"/>
      <c r="AG19" s="28"/>
      <c r="AH19" s="28"/>
      <c r="AI19" s="28"/>
      <c r="AJ19" s="28"/>
      <c r="AK19" s="28"/>
      <c r="AL19" s="28"/>
      <c r="AM19" s="28"/>
      <c r="AQ19" s="20">
        <f t="shared" si="17"/>
        <v>0</v>
      </c>
      <c r="AR19" s="20"/>
      <c r="AT19" s="19" t="s">
        <v>51</v>
      </c>
      <c r="AU19" s="2">
        <v>2295</v>
      </c>
      <c r="AV19" s="2">
        <v>1751</v>
      </c>
      <c r="AW19" s="2">
        <v>5438</v>
      </c>
      <c r="AX19" s="2">
        <v>4822</v>
      </c>
      <c r="AY19" s="2">
        <v>4494</v>
      </c>
      <c r="AZ19" s="2">
        <v>3631</v>
      </c>
      <c r="BA19" s="2">
        <v>4605</v>
      </c>
      <c r="BB19" s="2">
        <v>3532</v>
      </c>
      <c r="BC19" s="2">
        <v>3416</v>
      </c>
      <c r="BD19" s="2">
        <v>2812</v>
      </c>
      <c r="BE19" s="2">
        <v>3229</v>
      </c>
      <c r="BF19" s="2">
        <v>2751</v>
      </c>
      <c r="BG19" s="2">
        <v>2203</v>
      </c>
      <c r="BH19" s="2">
        <v>1735</v>
      </c>
      <c r="BI19" s="2">
        <v>25680</v>
      </c>
      <c r="BJ19" s="2">
        <v>21034</v>
      </c>
      <c r="BK19" s="2"/>
      <c r="BM19" s="20"/>
      <c r="BN19" s="25"/>
      <c r="BO19" s="25"/>
      <c r="BP19" s="25"/>
      <c r="BQ19" s="25"/>
      <c r="BR19" s="25"/>
      <c r="BS19" s="25"/>
      <c r="BT19" s="26"/>
    </row>
    <row r="20" spans="2:73" x14ac:dyDescent="0.25">
      <c r="B20" s="28"/>
      <c r="C20"/>
      <c r="D20"/>
      <c r="E20"/>
      <c r="F20" s="28" t="e">
        <f t="shared" si="8"/>
        <v>#DIV/0!</v>
      </c>
      <c r="I20" s="19" t="s">
        <v>52</v>
      </c>
      <c r="J20" s="2">
        <v>2291</v>
      </c>
      <c r="K20" s="2">
        <v>1810</v>
      </c>
      <c r="L20" s="2">
        <v>5421</v>
      </c>
      <c r="M20" s="2">
        <v>4772</v>
      </c>
      <c r="N20" s="2">
        <v>4460</v>
      </c>
      <c r="O20" s="2">
        <v>3662</v>
      </c>
      <c r="P20" s="2">
        <v>4613</v>
      </c>
      <c r="Q20" s="2">
        <v>3510</v>
      </c>
      <c r="R20" s="2">
        <v>3405</v>
      </c>
      <c r="S20" s="2">
        <v>2831</v>
      </c>
      <c r="T20" s="2">
        <v>3220</v>
      </c>
      <c r="U20" s="2">
        <v>2705</v>
      </c>
      <c r="V20" s="2">
        <v>2220</v>
      </c>
      <c r="W20" s="2">
        <v>1785</v>
      </c>
      <c r="X20" s="2">
        <v>25630</v>
      </c>
      <c r="Y20" s="2">
        <v>21075</v>
      </c>
      <c r="Z20" s="2"/>
      <c r="AQ20" s="20">
        <f>(AO20-AP20)/7</f>
        <v>0</v>
      </c>
      <c r="AR20" s="20"/>
      <c r="AT20" s="19" t="s">
        <v>52</v>
      </c>
      <c r="AU20" s="2">
        <v>2291</v>
      </c>
      <c r="AV20" s="2">
        <v>1810</v>
      </c>
      <c r="AW20" s="2">
        <v>5421</v>
      </c>
      <c r="AX20" s="2">
        <v>4772</v>
      </c>
      <c r="AY20" s="2">
        <v>4460</v>
      </c>
      <c r="AZ20" s="2">
        <v>3662</v>
      </c>
      <c r="BA20" s="2">
        <v>4613</v>
      </c>
      <c r="BB20" s="2">
        <v>3510</v>
      </c>
      <c r="BC20" s="2">
        <v>3405</v>
      </c>
      <c r="BD20" s="2">
        <v>2831</v>
      </c>
      <c r="BE20" s="2">
        <v>3220</v>
      </c>
      <c r="BF20" s="2">
        <v>2705</v>
      </c>
      <c r="BG20" s="2">
        <v>2220</v>
      </c>
      <c r="BH20" s="2">
        <v>1785</v>
      </c>
      <c r="BI20" s="2">
        <v>25630</v>
      </c>
      <c r="BJ20" s="2">
        <v>21075</v>
      </c>
      <c r="BK20" s="2"/>
    </row>
    <row r="21" spans="2:73" x14ac:dyDescent="0.25">
      <c r="I21" s="19" t="s">
        <v>40</v>
      </c>
      <c r="J21" s="2">
        <v>29964</v>
      </c>
      <c r="K21" s="2">
        <v>23118</v>
      </c>
      <c r="L21" s="2">
        <v>70453</v>
      </c>
      <c r="M21" s="2">
        <v>62211</v>
      </c>
      <c r="N21" s="2">
        <v>58550</v>
      </c>
      <c r="O21" s="2">
        <v>47932</v>
      </c>
      <c r="P21" s="2">
        <v>59835</v>
      </c>
      <c r="Q21" s="2">
        <v>46230</v>
      </c>
      <c r="R21" s="2">
        <v>44337</v>
      </c>
      <c r="S21" s="2">
        <v>36870</v>
      </c>
      <c r="T21" s="2">
        <v>41948</v>
      </c>
      <c r="U21" s="2">
        <v>35316</v>
      </c>
      <c r="V21" s="2">
        <v>28778</v>
      </c>
      <c r="W21" s="2">
        <v>23017</v>
      </c>
      <c r="X21" s="2">
        <v>333865</v>
      </c>
      <c r="Y21" s="2">
        <v>274694</v>
      </c>
      <c r="Z21" s="2"/>
      <c r="AT21" s="19" t="s">
        <v>40</v>
      </c>
      <c r="AU21" s="2">
        <v>29964</v>
      </c>
      <c r="AV21" s="2">
        <v>23118</v>
      </c>
      <c r="AW21" s="2">
        <v>70453</v>
      </c>
      <c r="AX21" s="2">
        <v>62211</v>
      </c>
      <c r="AY21" s="2">
        <v>58550</v>
      </c>
      <c r="AZ21" s="2">
        <v>47932</v>
      </c>
      <c r="BA21" s="2">
        <v>59835</v>
      </c>
      <c r="BB21" s="2">
        <v>46230</v>
      </c>
      <c r="BC21" s="2">
        <v>44337</v>
      </c>
      <c r="BD21" s="2">
        <v>36870</v>
      </c>
      <c r="BE21" s="2">
        <v>41948</v>
      </c>
      <c r="BF21" s="2">
        <v>35316</v>
      </c>
      <c r="BG21" s="2">
        <v>28778</v>
      </c>
      <c r="BH21" s="2">
        <v>23017</v>
      </c>
      <c r="BI21" s="2">
        <v>333865</v>
      </c>
      <c r="BJ21" s="2">
        <v>274694</v>
      </c>
      <c r="BK21" s="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1"/>
  <sheetViews>
    <sheetView topLeftCell="BF1" zoomScale="80" zoomScaleNormal="80" workbookViewId="0">
      <selection activeCell="AT2" sqref="AT2"/>
    </sheetView>
  </sheetViews>
  <sheetFormatPr defaultRowHeight="15" x14ac:dyDescent="0.25"/>
  <cols>
    <col min="1" max="1" width="9.140625" style="49"/>
    <col min="2" max="2" width="14.140625" style="49" bestFit="1" customWidth="1"/>
    <col min="3" max="3" width="25.140625" style="49" bestFit="1" customWidth="1"/>
    <col min="4" max="4" width="23.85546875" style="49" bestFit="1" customWidth="1"/>
    <col min="5" max="6" width="9.140625" style="49"/>
    <col min="8" max="8" width="14.140625" bestFit="1" customWidth="1"/>
    <col min="9" max="9" width="25.140625" bestFit="1" customWidth="1"/>
    <col min="10" max="10" width="23.85546875" bestFit="1" customWidth="1"/>
    <col min="11" max="11" width="25.140625" customWidth="1"/>
    <col min="12" max="12" width="23.85546875" bestFit="1" customWidth="1"/>
    <col min="13" max="13" width="25.140625" bestFit="1" customWidth="1"/>
    <col min="14" max="14" width="23.85546875" bestFit="1" customWidth="1"/>
    <col min="15" max="15" width="25.140625" bestFit="1" customWidth="1"/>
    <col min="16" max="16" width="23.85546875" bestFit="1" customWidth="1"/>
    <col min="17" max="17" width="25.140625" bestFit="1" customWidth="1"/>
    <col min="18" max="18" width="23.85546875" bestFit="1" customWidth="1"/>
    <col min="19" max="19" width="25.140625" customWidth="1"/>
    <col min="20" max="20" width="23.85546875" customWidth="1"/>
    <col min="21" max="21" width="25.140625" customWidth="1"/>
    <col min="22" max="22" width="23.85546875" customWidth="1"/>
    <col min="23" max="23" width="30.28515625" customWidth="1"/>
    <col min="24" max="24" width="29.140625" customWidth="1"/>
    <col min="25" max="25" width="28.28515625" customWidth="1"/>
    <col min="39" max="39" width="14.140625" bestFit="1" customWidth="1"/>
    <col min="40" max="40" width="25.140625" bestFit="1" customWidth="1"/>
    <col min="41" max="41" width="23.85546875" bestFit="1" customWidth="1"/>
    <col min="46" max="46" width="14.140625" bestFit="1" customWidth="1"/>
    <col min="47" max="47" width="25.140625" bestFit="1" customWidth="1"/>
    <col min="48" max="48" width="23.85546875" bestFit="1" customWidth="1"/>
    <col min="49" max="49" width="25.140625" customWidth="1"/>
    <col min="50" max="50" width="23.85546875" bestFit="1" customWidth="1"/>
    <col min="51" max="51" width="25.140625" bestFit="1" customWidth="1"/>
    <col min="52" max="52" width="23.85546875" bestFit="1" customWidth="1"/>
    <col min="53" max="53" width="25.140625" bestFit="1" customWidth="1"/>
    <col min="54" max="54" width="23.85546875" bestFit="1" customWidth="1"/>
    <col min="55" max="55" width="25.140625" bestFit="1" customWidth="1"/>
    <col min="56" max="56" width="23.85546875" bestFit="1" customWidth="1"/>
    <col min="57" max="57" width="25.140625" customWidth="1"/>
    <col min="58" max="58" width="23.85546875" customWidth="1"/>
    <col min="59" max="59" width="25.140625" customWidth="1"/>
    <col min="60" max="60" width="23.85546875" customWidth="1"/>
    <col min="61" max="61" width="30.28515625" customWidth="1"/>
    <col min="62" max="62" width="29.140625" customWidth="1"/>
    <col min="63" max="63" width="28.28515625" customWidth="1"/>
  </cols>
  <sheetData>
    <row r="1" spans="1:73" s="17" customFormat="1" x14ac:dyDescent="0.25">
      <c r="A1" s="38"/>
      <c r="B1" s="44" t="s">
        <v>320</v>
      </c>
      <c r="C1" s="51"/>
      <c r="D1" s="51"/>
      <c r="E1" s="51"/>
      <c r="F1" s="38"/>
      <c r="G1" s="38"/>
      <c r="H1" s="152" t="s">
        <v>321</v>
      </c>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20"/>
      <c r="AJ1" s="120"/>
      <c r="AK1" s="38"/>
      <c r="AM1" s="151" t="s">
        <v>304</v>
      </c>
      <c r="AN1" s="151"/>
      <c r="AO1" s="151"/>
      <c r="AP1" s="151"/>
      <c r="AT1" s="151" t="s">
        <v>306</v>
      </c>
      <c r="AU1" s="151"/>
      <c r="AV1" s="151"/>
      <c r="AW1" s="151"/>
      <c r="AX1" s="151"/>
      <c r="AY1" s="151"/>
      <c r="AZ1" s="151"/>
      <c r="BA1" s="151"/>
      <c r="BB1" s="151"/>
      <c r="BC1" s="151"/>
      <c r="BD1" s="151"/>
      <c r="BE1" s="151"/>
      <c r="BF1" s="151"/>
      <c r="BG1" s="151"/>
      <c r="BH1" s="151"/>
      <c r="BI1" s="151"/>
      <c r="BJ1" s="151"/>
      <c r="BK1" s="151"/>
      <c r="BL1" s="151"/>
      <c r="BM1" s="151"/>
      <c r="BN1" s="151"/>
      <c r="BO1" s="151"/>
    </row>
    <row r="3" spans="1:73" x14ac:dyDescent="0.25">
      <c r="B3" s="18" t="s">
        <v>41</v>
      </c>
      <c r="C3" t="s" vm="1">
        <v>287</v>
      </c>
      <c r="D3"/>
      <c r="H3" s="18" t="s">
        <v>41</v>
      </c>
      <c r="I3" t="s" vm="1">
        <v>287</v>
      </c>
      <c r="AM3" s="18" t="s">
        <v>41</v>
      </c>
      <c r="AN3" t="s" vm="1">
        <v>287</v>
      </c>
      <c r="AT3" s="18" t="s">
        <v>41</v>
      </c>
      <c r="AU3" t="s" vm="1">
        <v>287</v>
      </c>
    </row>
    <row r="4" spans="1:73" x14ac:dyDescent="0.25">
      <c r="B4"/>
      <c r="C4"/>
      <c r="D4"/>
    </row>
    <row r="5" spans="1:73" x14ac:dyDescent="0.25">
      <c r="B5" s="18" t="s">
        <v>38</v>
      </c>
      <c r="C5" t="s">
        <v>198</v>
      </c>
      <c r="D5" t="s">
        <v>199</v>
      </c>
      <c r="I5" s="18" t="s">
        <v>43</v>
      </c>
      <c r="AB5" t="s">
        <v>42</v>
      </c>
      <c r="AC5" t="s">
        <v>1</v>
      </c>
      <c r="AD5" t="s">
        <v>241</v>
      </c>
      <c r="AE5" t="s">
        <v>282</v>
      </c>
      <c r="AF5" t="s">
        <v>238</v>
      </c>
      <c r="AG5" t="s">
        <v>239</v>
      </c>
      <c r="AH5" t="s">
        <v>285</v>
      </c>
      <c r="AI5" t="s">
        <v>284</v>
      </c>
      <c r="AM5" s="18" t="s">
        <v>38</v>
      </c>
      <c r="AN5" t="s">
        <v>198</v>
      </c>
      <c r="AO5" t="s">
        <v>199</v>
      </c>
      <c r="AU5" s="18" t="s">
        <v>43</v>
      </c>
      <c r="BN5" t="s">
        <v>42</v>
      </c>
      <c r="BO5" t="s">
        <v>1</v>
      </c>
      <c r="BP5" t="s">
        <v>241</v>
      </c>
      <c r="BQ5" t="s">
        <v>282</v>
      </c>
      <c r="BR5" t="s">
        <v>238</v>
      </c>
      <c r="BS5" t="s">
        <v>239</v>
      </c>
      <c r="BT5" t="s">
        <v>285</v>
      </c>
      <c r="BU5" t="s">
        <v>284</v>
      </c>
    </row>
    <row r="6" spans="1:73" x14ac:dyDescent="0.25">
      <c r="A6" s="28"/>
      <c r="B6" s="19" t="s">
        <v>39</v>
      </c>
      <c r="C6" s="2">
        <v>1981</v>
      </c>
      <c r="D6" s="2">
        <v>1721</v>
      </c>
      <c r="E6" s="28">
        <f>D6/C6</f>
        <v>0.86875315497223626</v>
      </c>
      <c r="F6" s="28"/>
      <c r="G6" s="28"/>
      <c r="I6" t="s">
        <v>329</v>
      </c>
      <c r="K6" t="s">
        <v>1</v>
      </c>
      <c r="M6" t="s">
        <v>241</v>
      </c>
      <c r="O6" t="s">
        <v>286</v>
      </c>
      <c r="Q6" t="s">
        <v>330</v>
      </c>
      <c r="S6" t="s">
        <v>237</v>
      </c>
      <c r="U6" t="s">
        <v>331</v>
      </c>
      <c r="W6" t="s">
        <v>200</v>
      </c>
      <c r="X6" t="s">
        <v>201</v>
      </c>
      <c r="Z6" s="28"/>
      <c r="AA6" s="20" t="s">
        <v>44</v>
      </c>
      <c r="AB6" s="28">
        <f>VLOOKUP($AA6,$H$8:$X$1048576,17,FALSE)/VLOOKUP($AA6,$H$8:$X$1048576,16,FALSE)</f>
        <v>0.86875315497223626</v>
      </c>
      <c r="AC6" s="28">
        <f>VLOOKUP($AA6,$H$8:$X$1048576,5,FALSE)/VLOOKUP($AA6,$H$8:$X$1048576,4,FALSE)</f>
        <v>0.97368421052631582</v>
      </c>
      <c r="AD6" s="28">
        <f>VLOOKUP($AA6,$H$8:$X$1048576,7,FALSE)/VLOOKUP($AA6,$H$8:$X$1048576,6,FALSE)</f>
        <v>0.92327365728900257</v>
      </c>
      <c r="AE6" s="28">
        <f>VLOOKUP($AA6,$H$8:$X$1048576,9,FALSE)/VLOOKUP($AA6,$H$8:$X$1048576,8,FALSE)</f>
        <v>0.7068965517241379</v>
      </c>
      <c r="AF6" s="28">
        <f>VLOOKUP($AA6,$H$8:$X$1048576,13,FALSE)/VLOOKUP($AA6,$H$8:$X$1048576,12,FALSE)</f>
        <v>0.80769230769230771</v>
      </c>
      <c r="AG6" s="28">
        <f>VLOOKUP($AA6,$H$8:$X$1048576,15,FALSE)/VLOOKUP($AA6,$H$8:$X$1048576,14,FALSE)</f>
        <v>0.92063492063492058</v>
      </c>
      <c r="AH6" s="28">
        <f>VLOOKUP($AA6,$H$8:$X$1048576,3,FALSE)/VLOOKUP($AA6,$H$8:$X$1048576,2,FALSE)</f>
        <v>0.7142857142857143</v>
      </c>
      <c r="AI6" s="28">
        <f>VLOOKUP($AA6,$H$8:$X$1048576,11,FALSE)/VLOOKUP($AA6,$H$8:$X$1048576,10,FALSE)</f>
        <v>0.91714285714285715</v>
      </c>
      <c r="AJ6" s="28"/>
      <c r="AK6" s="28"/>
      <c r="AM6" s="19" t="s">
        <v>39</v>
      </c>
      <c r="AN6" s="2">
        <v>1981</v>
      </c>
      <c r="AO6" s="2">
        <v>1721</v>
      </c>
      <c r="AP6" s="26">
        <f>(AN6-D6)/4</f>
        <v>65</v>
      </c>
      <c r="AQ6" s="52"/>
      <c r="AR6" s="26"/>
      <c r="AU6" t="s">
        <v>329</v>
      </c>
      <c r="AW6" t="s">
        <v>1</v>
      </c>
      <c r="AY6" t="s">
        <v>241</v>
      </c>
      <c r="BA6" t="s">
        <v>286</v>
      </c>
      <c r="BC6" t="s">
        <v>330</v>
      </c>
      <c r="BE6" t="s">
        <v>237</v>
      </c>
      <c r="BG6" t="s">
        <v>331</v>
      </c>
      <c r="BI6" t="s">
        <v>200</v>
      </c>
      <c r="BJ6" t="s">
        <v>201</v>
      </c>
      <c r="BM6" s="53" t="s">
        <v>44</v>
      </c>
      <c r="BN6" s="25">
        <f>(VLOOKUP($BM6,$AT$8:$BJ$1048576,16,FALSE)-VLOOKUP($BM6,$AT$8:$BJ$1048576,17,FALSE))/7</f>
        <v>37.142857142857146</v>
      </c>
      <c r="BO6" s="25">
        <f>(VLOOKUP($BM6,$AT$8:$BJ$1048576,4,FALSE)-VLOOKUP($BM6,$AT$8:$BJ$1048576,5,FALSE))/7</f>
        <v>1.5714285714285714</v>
      </c>
      <c r="BP6" s="25">
        <f>(VLOOKUP($BM6,$AT$8:$BJ$1048576,6,FALSE)-VLOOKUP($BM6,$AT$8:$BJ$1048576,7,FALSE))/7</f>
        <v>4.2857142857142856</v>
      </c>
      <c r="BQ6" s="25">
        <f>(VLOOKUP($BM6,$AT$8:$BJ$1048576,8,FALSE)-VLOOKUP($BM6,$AT$8:$BJ$1048576,9,FALSE))/7</f>
        <v>17</v>
      </c>
      <c r="BR6" s="25">
        <f>(VLOOKUP($BM6,$AT$8:$BJ$1048576,12,FALSE)-VLOOKUP($BM6,$AT$8:$BJ$1048576,13,FALSE))/7</f>
        <v>6.4285714285714288</v>
      </c>
      <c r="BS6" s="25">
        <f>(VLOOKUP($BM6,$AT$8:$BJ$1048576,14,FALSE)-VLOOKUP($BM6,$AT$8:$BJ$1048576,15,FALSE))/7</f>
        <v>1.4285714285714286</v>
      </c>
      <c r="BT6" s="25">
        <f>(VLOOKUP($BM6,$AT$8:$BJ$1048576,2,FALSE)-VLOOKUP($BM6,$AT$8:$BJ$1048576,3,FALSE))/7</f>
        <v>2.2857142857142856</v>
      </c>
      <c r="BU6" s="25">
        <f>(VLOOKUP($BM6,$AT$8:$BJ$1048576,10,FALSE)-VLOOKUP($BM6,$AT$8:$BJ$1048576,11,FALSE))/7</f>
        <v>4.1428571428571432</v>
      </c>
    </row>
    <row r="7" spans="1:73" x14ac:dyDescent="0.25">
      <c r="A7" s="28"/>
      <c r="B7" s="19" t="s">
        <v>332</v>
      </c>
      <c r="C7" s="2">
        <v>1973</v>
      </c>
      <c r="D7" s="2">
        <v>1684</v>
      </c>
      <c r="E7" s="28">
        <f>D7/C7</f>
        <v>0.85352255448555503</v>
      </c>
      <c r="F7" s="28"/>
      <c r="G7" s="28"/>
      <c r="H7" s="18" t="s">
        <v>38</v>
      </c>
      <c r="I7" t="s">
        <v>198</v>
      </c>
      <c r="J7" t="s">
        <v>199</v>
      </c>
      <c r="K7" t="s">
        <v>198</v>
      </c>
      <c r="L7" t="s">
        <v>199</v>
      </c>
      <c r="M7" t="s">
        <v>198</v>
      </c>
      <c r="N7" t="s">
        <v>199</v>
      </c>
      <c r="O7" t="s">
        <v>198</v>
      </c>
      <c r="P7" t="s">
        <v>199</v>
      </c>
      <c r="Q7" t="s">
        <v>198</v>
      </c>
      <c r="R7" t="s">
        <v>199</v>
      </c>
      <c r="S7" t="s">
        <v>198</v>
      </c>
      <c r="T7" t="s">
        <v>199</v>
      </c>
      <c r="U7" t="s">
        <v>198</v>
      </c>
      <c r="V7" t="s">
        <v>199</v>
      </c>
      <c r="Z7" s="28"/>
      <c r="AA7" s="20" t="s">
        <v>45</v>
      </c>
      <c r="AB7" s="28">
        <f t="shared" ref="AB7:AB18" si="0">VLOOKUP($AA7,$H$8:$X$1048576,17,FALSE)/VLOOKUP($AA7,$H$8:$X$1048576,16,FALSE)</f>
        <v>0.85352255448555503</v>
      </c>
      <c r="AC7" s="28">
        <f t="shared" ref="AC7:AC18" si="1">VLOOKUP($AA7,$H$8:$X$1048576,5,FALSE)/VLOOKUP($AA7,$H$8:$X$1048576,4,FALSE)</f>
        <v>0.94621026894865523</v>
      </c>
      <c r="AD7" s="28">
        <f t="shared" ref="AD7:AD18" si="2">VLOOKUP($AA7,$H$8:$X$1048576,7,FALSE)/VLOOKUP($AA7,$H$8:$X$1048576,6,FALSE)</f>
        <v>0.89294403892944041</v>
      </c>
      <c r="AE7" s="28">
        <f t="shared" ref="AE7:AE18" si="3">VLOOKUP($AA7,$H$8:$X$1048576,9,FALSE)/VLOOKUP($AA7,$H$8:$X$1048576,8,FALSE)</f>
        <v>0.71287128712871284</v>
      </c>
      <c r="AF7" s="28">
        <f t="shared" ref="AF7:AF18" si="4">VLOOKUP($AA7,$H$8:$X$1048576,13,FALSE)/VLOOKUP($AA7,$H$8:$X$1048576,12,FALSE)</f>
        <v>0.8571428571428571</v>
      </c>
      <c r="AG7" s="28">
        <f t="shared" ref="AG7:AG18" si="5">VLOOKUP($AA7,$H$8:$X$1048576,15,FALSE)/VLOOKUP($AA7,$H$8:$X$1048576,14,FALSE)</f>
        <v>0.96031746031746035</v>
      </c>
      <c r="AH7" s="28">
        <f t="shared" ref="AH7:AH18" si="6">VLOOKUP($AA7,$H$8:$X$1048576,3,FALSE)/VLOOKUP($AA7,$H$8:$X$1048576,2,FALSE)</f>
        <v>0.5892857142857143</v>
      </c>
      <c r="AI7" s="28">
        <f t="shared" ref="AI7:AI17" si="7">VLOOKUP($AA7,$H$8:$X$1048576,11,FALSE)/VLOOKUP($AA7,$H$8:$X$1048576,10,FALSE)</f>
        <v>0.86285714285714288</v>
      </c>
      <c r="AJ7" s="28"/>
      <c r="AK7" s="28"/>
      <c r="AM7" s="19" t="s">
        <v>332</v>
      </c>
      <c r="AN7" s="2">
        <v>1973</v>
      </c>
      <c r="AO7" s="2">
        <v>1684</v>
      </c>
      <c r="AP7" s="26">
        <f t="shared" ref="AP7:AP20" si="8">(AN7-D7)/7</f>
        <v>41.285714285714285</v>
      </c>
      <c r="AQ7" s="52"/>
      <c r="AR7" s="26"/>
      <c r="AT7" s="18" t="s">
        <v>38</v>
      </c>
      <c r="AU7" t="s">
        <v>198</v>
      </c>
      <c r="AV7" t="s">
        <v>199</v>
      </c>
      <c r="AW7" t="s">
        <v>198</v>
      </c>
      <c r="AX7" t="s">
        <v>199</v>
      </c>
      <c r="AY7" t="s">
        <v>198</v>
      </c>
      <c r="AZ7" t="s">
        <v>199</v>
      </c>
      <c r="BA7" t="s">
        <v>198</v>
      </c>
      <c r="BB7" t="s">
        <v>199</v>
      </c>
      <c r="BC7" t="s">
        <v>198</v>
      </c>
      <c r="BD7" t="s">
        <v>199</v>
      </c>
      <c r="BE7" t="s">
        <v>198</v>
      </c>
      <c r="BF7" t="s">
        <v>199</v>
      </c>
      <c r="BG7" t="s">
        <v>198</v>
      </c>
      <c r="BH7" t="s">
        <v>199</v>
      </c>
      <c r="BM7" s="53" t="s">
        <v>45</v>
      </c>
      <c r="BN7" s="25">
        <f t="shared" ref="BN7:BN18" si="9">(VLOOKUP($BM7,$AT$8:$BJ$1048576,16,FALSE)-VLOOKUP($BM7,$AT$8:$BJ$1048576,17,FALSE))/7</f>
        <v>41.285714285714285</v>
      </c>
      <c r="BO7" s="25">
        <f t="shared" ref="BO7:BO18" si="10">(VLOOKUP($BM7,$AT$8:$BJ$1048576,4,FALSE)-VLOOKUP($BM7,$AT$8:$BJ$1048576,5,FALSE))/7</f>
        <v>3.1428571428571428</v>
      </c>
      <c r="BP7" s="25">
        <f t="shared" ref="BP7:BP18" si="11">(VLOOKUP($BM7,$AT$8:$BJ$1048576,6,FALSE)-VLOOKUP($BM7,$AT$8:$BJ$1048576,7,FALSE))/7</f>
        <v>6.2857142857142856</v>
      </c>
      <c r="BQ7" s="25">
        <f t="shared" ref="BQ7:BQ18" si="12">(VLOOKUP($BM7,$AT$8:$BJ$1048576,8,FALSE)-VLOOKUP($BM7,$AT$8:$BJ$1048576,9,FALSE))/7</f>
        <v>16.571428571428573</v>
      </c>
      <c r="BR7" s="25">
        <f t="shared" ref="BR7:BR18" si="13">(VLOOKUP($BM7,$AT$8:$BJ$1048576,12,FALSE)-VLOOKUP($BM7,$AT$8:$BJ$1048576,13,FALSE))/7</f>
        <v>4.4285714285714288</v>
      </c>
      <c r="BS7" s="25">
        <f t="shared" ref="BS7:BS18" si="14">(VLOOKUP($BM7,$AT$8:$BJ$1048576,14,FALSE)-VLOOKUP($BM7,$AT$8:$BJ$1048576,15,FALSE))/7</f>
        <v>0.7142857142857143</v>
      </c>
      <c r="BT7" s="25">
        <f t="shared" ref="BT7:BT18" si="15">(VLOOKUP($BM7,$AT$8:$BJ$1048576,2,FALSE)-VLOOKUP($BM7,$AT$8:$BJ$1048576,3,FALSE))/7</f>
        <v>3.2857142857142856</v>
      </c>
      <c r="BU7" s="25">
        <f t="shared" ref="BU7:BU18" si="16">(VLOOKUP($BM7,$AT$8:$BJ$1048576,10,FALSE)-VLOOKUP($BM7,$AT$8:$BJ$1048576,11,FALSE))/7</f>
        <v>6.8571428571428568</v>
      </c>
    </row>
    <row r="8" spans="1:73" x14ac:dyDescent="0.25">
      <c r="A8" s="28"/>
      <c r="B8" s="19" t="s">
        <v>341</v>
      </c>
      <c r="C8" s="2">
        <v>1979</v>
      </c>
      <c r="D8" s="2">
        <v>1691</v>
      </c>
      <c r="E8" s="28">
        <f t="shared" ref="E8:E20" si="17">D8/C8</f>
        <v>0.85447195553309752</v>
      </c>
      <c r="F8" s="28"/>
      <c r="G8" s="28"/>
      <c r="H8" s="19" t="s">
        <v>44</v>
      </c>
      <c r="I8" s="2">
        <v>56</v>
      </c>
      <c r="J8" s="2">
        <v>40</v>
      </c>
      <c r="K8" s="2">
        <v>418</v>
      </c>
      <c r="L8" s="2">
        <v>407</v>
      </c>
      <c r="M8" s="2">
        <v>391</v>
      </c>
      <c r="N8" s="2">
        <v>361</v>
      </c>
      <c r="O8" s="2">
        <v>406</v>
      </c>
      <c r="P8" s="2">
        <v>287</v>
      </c>
      <c r="Q8" s="2">
        <v>350</v>
      </c>
      <c r="R8" s="2">
        <v>321</v>
      </c>
      <c r="S8" s="2">
        <v>234</v>
      </c>
      <c r="T8" s="2">
        <v>189</v>
      </c>
      <c r="U8" s="2">
        <v>126</v>
      </c>
      <c r="V8" s="2">
        <v>116</v>
      </c>
      <c r="W8" s="2">
        <v>1981</v>
      </c>
      <c r="X8" s="2">
        <v>1721</v>
      </c>
      <c r="Y8" s="2"/>
      <c r="Z8" s="28"/>
      <c r="AA8" s="20" t="s">
        <v>46</v>
      </c>
      <c r="AB8" s="28">
        <f t="shared" si="0"/>
        <v>0.85447195553309752</v>
      </c>
      <c r="AC8" s="28">
        <f t="shared" si="1"/>
        <v>0.94376528117359415</v>
      </c>
      <c r="AD8" s="28">
        <f t="shared" si="2"/>
        <v>0.88206388206388209</v>
      </c>
      <c r="AE8" s="28">
        <f t="shared" si="3"/>
        <v>0.70443349753694584</v>
      </c>
      <c r="AF8" s="28">
        <f t="shared" si="4"/>
        <v>0.90134529147982068</v>
      </c>
      <c r="AG8" s="28">
        <f t="shared" si="5"/>
        <v>0.953125</v>
      </c>
      <c r="AH8" s="28">
        <f t="shared" si="6"/>
        <v>0.6071428571428571</v>
      </c>
      <c r="AI8" s="28">
        <f t="shared" si="7"/>
        <v>0.86571428571428577</v>
      </c>
      <c r="AJ8" s="28"/>
      <c r="AK8" s="28"/>
      <c r="AM8" s="19" t="s">
        <v>341</v>
      </c>
      <c r="AN8" s="2">
        <v>1979</v>
      </c>
      <c r="AO8" s="2">
        <v>1691</v>
      </c>
      <c r="AP8" s="26">
        <f t="shared" si="8"/>
        <v>41.142857142857146</v>
      </c>
      <c r="AQ8" s="52"/>
      <c r="AR8" s="26"/>
      <c r="AT8" s="19" t="s">
        <v>44</v>
      </c>
      <c r="AU8" s="2">
        <v>56</v>
      </c>
      <c r="AV8" s="2">
        <v>40</v>
      </c>
      <c r="AW8" s="2">
        <v>418</v>
      </c>
      <c r="AX8" s="2">
        <v>407</v>
      </c>
      <c r="AY8" s="2">
        <v>391</v>
      </c>
      <c r="AZ8" s="2">
        <v>361</v>
      </c>
      <c r="BA8" s="2">
        <v>406</v>
      </c>
      <c r="BB8" s="2">
        <v>287</v>
      </c>
      <c r="BC8" s="2">
        <v>350</v>
      </c>
      <c r="BD8" s="2">
        <v>321</v>
      </c>
      <c r="BE8" s="2">
        <v>234</v>
      </c>
      <c r="BF8" s="2">
        <v>189</v>
      </c>
      <c r="BG8" s="2">
        <v>126</v>
      </c>
      <c r="BH8" s="2">
        <v>116</v>
      </c>
      <c r="BI8" s="2">
        <v>1981</v>
      </c>
      <c r="BJ8" s="2">
        <v>1721</v>
      </c>
      <c r="BK8" s="2"/>
      <c r="BM8" s="53" t="s">
        <v>46</v>
      </c>
      <c r="BN8" s="25">
        <f t="shared" si="9"/>
        <v>41.142857142857146</v>
      </c>
      <c r="BO8" s="25">
        <f t="shared" si="10"/>
        <v>3.2857142857142856</v>
      </c>
      <c r="BP8" s="25">
        <f t="shared" si="11"/>
        <v>6.8571428571428568</v>
      </c>
      <c r="BQ8" s="25">
        <f t="shared" si="12"/>
        <v>17.142857142857142</v>
      </c>
      <c r="BR8" s="25">
        <f t="shared" si="13"/>
        <v>3.1428571428571428</v>
      </c>
      <c r="BS8" s="25">
        <f t="shared" si="14"/>
        <v>0.8571428571428571</v>
      </c>
      <c r="BT8" s="25">
        <f t="shared" si="15"/>
        <v>3.1428571428571428</v>
      </c>
      <c r="BU8" s="25">
        <f t="shared" si="16"/>
        <v>6.7142857142857144</v>
      </c>
    </row>
    <row r="9" spans="1:73" x14ac:dyDescent="0.25">
      <c r="A9" s="28"/>
      <c r="B9" s="19" t="s">
        <v>350</v>
      </c>
      <c r="C9" s="2">
        <v>1935</v>
      </c>
      <c r="D9" s="2">
        <v>1587</v>
      </c>
      <c r="E9" s="28">
        <f t="shared" si="17"/>
        <v>0.82015503875968987</v>
      </c>
      <c r="F9" s="28"/>
      <c r="G9" s="28"/>
      <c r="H9" s="19" t="s">
        <v>53</v>
      </c>
      <c r="I9" s="2">
        <v>56</v>
      </c>
      <c r="J9" s="2">
        <v>18</v>
      </c>
      <c r="K9" s="2">
        <v>393</v>
      </c>
      <c r="L9" s="2">
        <v>348</v>
      </c>
      <c r="M9" s="2">
        <v>408</v>
      </c>
      <c r="N9" s="2">
        <v>335</v>
      </c>
      <c r="O9" s="2">
        <v>378</v>
      </c>
      <c r="P9" s="2">
        <v>251</v>
      </c>
      <c r="Q9" s="2">
        <v>350</v>
      </c>
      <c r="R9" s="2">
        <v>294</v>
      </c>
      <c r="S9" s="2">
        <v>220</v>
      </c>
      <c r="T9" s="2">
        <v>185</v>
      </c>
      <c r="U9" s="2">
        <v>128</v>
      </c>
      <c r="V9" s="2">
        <v>106</v>
      </c>
      <c r="W9" s="2">
        <v>1933</v>
      </c>
      <c r="X9" s="2">
        <v>1537</v>
      </c>
      <c r="Y9" s="2"/>
      <c r="Z9" s="28"/>
      <c r="AA9" s="20" t="s">
        <v>47</v>
      </c>
      <c r="AB9" s="28">
        <f t="shared" si="0"/>
        <v>0.82015503875968987</v>
      </c>
      <c r="AC9" s="28">
        <f t="shared" si="1"/>
        <v>0.92383292383292381</v>
      </c>
      <c r="AD9" s="28">
        <f t="shared" si="2"/>
        <v>0.8528678304239401</v>
      </c>
      <c r="AE9" s="28">
        <f t="shared" si="3"/>
        <v>0.63925729442970824</v>
      </c>
      <c r="AF9" s="28">
        <f t="shared" si="4"/>
        <v>0.82110091743119262</v>
      </c>
      <c r="AG9" s="28">
        <f t="shared" si="5"/>
        <v>0.90476190476190477</v>
      </c>
      <c r="AH9" s="28">
        <f t="shared" si="6"/>
        <v>0.6071428571428571</v>
      </c>
      <c r="AI9" s="28">
        <f t="shared" si="7"/>
        <v>0.86</v>
      </c>
      <c r="AJ9" s="28"/>
      <c r="AK9" s="28"/>
      <c r="AM9" s="19" t="s">
        <v>350</v>
      </c>
      <c r="AN9" s="2">
        <v>1935</v>
      </c>
      <c r="AO9" s="2">
        <v>1587</v>
      </c>
      <c r="AP9" s="26">
        <f t="shared" si="8"/>
        <v>49.714285714285715</v>
      </c>
      <c r="AQ9" s="52"/>
      <c r="AR9" s="26"/>
      <c r="AT9" s="19" t="s">
        <v>53</v>
      </c>
      <c r="AU9" s="2">
        <v>56</v>
      </c>
      <c r="AV9" s="2">
        <v>18</v>
      </c>
      <c r="AW9" s="2">
        <v>393</v>
      </c>
      <c r="AX9" s="2">
        <v>348</v>
      </c>
      <c r="AY9" s="2">
        <v>408</v>
      </c>
      <c r="AZ9" s="2">
        <v>335</v>
      </c>
      <c r="BA9" s="2">
        <v>378</v>
      </c>
      <c r="BB9" s="2">
        <v>251</v>
      </c>
      <c r="BC9" s="2">
        <v>350</v>
      </c>
      <c r="BD9" s="2">
        <v>294</v>
      </c>
      <c r="BE9" s="2">
        <v>220</v>
      </c>
      <c r="BF9" s="2">
        <v>185</v>
      </c>
      <c r="BG9" s="2">
        <v>128</v>
      </c>
      <c r="BH9" s="2">
        <v>106</v>
      </c>
      <c r="BI9" s="2">
        <v>1933</v>
      </c>
      <c r="BJ9" s="2">
        <v>1537</v>
      </c>
      <c r="BK9" s="2"/>
      <c r="BM9" s="53" t="s">
        <v>47</v>
      </c>
      <c r="BN9" s="25">
        <f t="shared" si="9"/>
        <v>49.714285714285715</v>
      </c>
      <c r="BO9" s="25">
        <f t="shared" si="10"/>
        <v>4.4285714285714288</v>
      </c>
      <c r="BP9" s="25">
        <f t="shared" si="11"/>
        <v>8.4285714285714288</v>
      </c>
      <c r="BQ9" s="25">
        <f t="shared" si="12"/>
        <v>19.428571428571427</v>
      </c>
      <c r="BR9" s="25">
        <f t="shared" si="13"/>
        <v>5.5714285714285712</v>
      </c>
      <c r="BS9" s="25">
        <f t="shared" si="14"/>
        <v>1.7142857142857142</v>
      </c>
      <c r="BT9" s="25">
        <f t="shared" si="15"/>
        <v>3.1428571428571428</v>
      </c>
      <c r="BU9" s="25">
        <f t="shared" si="16"/>
        <v>7</v>
      </c>
    </row>
    <row r="10" spans="1:73" x14ac:dyDescent="0.25">
      <c r="A10" s="28"/>
      <c r="B10" s="19" t="s">
        <v>359</v>
      </c>
      <c r="C10" s="2">
        <v>1929</v>
      </c>
      <c r="D10" s="2">
        <v>1546</v>
      </c>
      <c r="E10" s="28">
        <f t="shared" si="17"/>
        <v>0.80145152928978747</v>
      </c>
      <c r="F10" s="28"/>
      <c r="G10" s="28"/>
      <c r="H10" s="19" t="s">
        <v>54</v>
      </c>
      <c r="I10" s="2">
        <v>56</v>
      </c>
      <c r="J10" s="2">
        <v>19</v>
      </c>
      <c r="K10" s="2">
        <v>398</v>
      </c>
      <c r="L10" s="2">
        <v>326</v>
      </c>
      <c r="M10" s="2">
        <v>411</v>
      </c>
      <c r="N10" s="2">
        <v>333</v>
      </c>
      <c r="O10" s="2">
        <v>378</v>
      </c>
      <c r="P10" s="2">
        <v>252</v>
      </c>
      <c r="Q10" s="2">
        <v>350</v>
      </c>
      <c r="R10" s="2">
        <v>298</v>
      </c>
      <c r="S10" s="2">
        <v>217</v>
      </c>
      <c r="T10" s="2">
        <v>136</v>
      </c>
      <c r="U10" s="2">
        <v>126</v>
      </c>
      <c r="V10" s="2">
        <v>96</v>
      </c>
      <c r="W10" s="2">
        <v>1936</v>
      </c>
      <c r="X10" s="2">
        <v>1460</v>
      </c>
      <c r="Y10" s="2"/>
      <c r="Z10" s="28"/>
      <c r="AA10" s="20" t="s">
        <v>48</v>
      </c>
      <c r="AB10" s="28">
        <f t="shared" si="0"/>
        <v>0.80145152928978747</v>
      </c>
      <c r="AC10" s="28">
        <f t="shared" si="1"/>
        <v>0.83790523690773067</v>
      </c>
      <c r="AD10" s="28">
        <f t="shared" si="2"/>
        <v>0.82608695652173914</v>
      </c>
      <c r="AE10" s="28">
        <f t="shared" si="3"/>
        <v>0.68617021276595747</v>
      </c>
      <c r="AF10" s="28">
        <f t="shared" si="4"/>
        <v>0.75</v>
      </c>
      <c r="AG10" s="28">
        <f t="shared" si="5"/>
        <v>0.89814814814814814</v>
      </c>
      <c r="AH10" s="28">
        <f t="shared" si="6"/>
        <v>0.6071428571428571</v>
      </c>
      <c r="AI10" s="28">
        <f t="shared" si="7"/>
        <v>0.88857142857142857</v>
      </c>
      <c r="AJ10" s="28"/>
      <c r="AK10" s="28"/>
      <c r="AM10" s="19" t="s">
        <v>359</v>
      </c>
      <c r="AN10" s="2">
        <v>1929</v>
      </c>
      <c r="AO10" s="2">
        <v>1546</v>
      </c>
      <c r="AP10" s="26">
        <f t="shared" si="8"/>
        <v>54.714285714285715</v>
      </c>
      <c r="AQ10" s="52"/>
      <c r="AR10" s="26"/>
      <c r="AT10" s="19" t="s">
        <v>54</v>
      </c>
      <c r="AU10" s="2">
        <v>56</v>
      </c>
      <c r="AV10" s="2">
        <v>19</v>
      </c>
      <c r="AW10" s="2">
        <v>398</v>
      </c>
      <c r="AX10" s="2">
        <v>326</v>
      </c>
      <c r="AY10" s="2">
        <v>411</v>
      </c>
      <c r="AZ10" s="2">
        <v>333</v>
      </c>
      <c r="BA10" s="2">
        <v>378</v>
      </c>
      <c r="BB10" s="2">
        <v>252</v>
      </c>
      <c r="BC10" s="2">
        <v>350</v>
      </c>
      <c r="BD10" s="2">
        <v>298</v>
      </c>
      <c r="BE10" s="2">
        <v>217</v>
      </c>
      <c r="BF10" s="2">
        <v>136</v>
      </c>
      <c r="BG10" s="2">
        <v>126</v>
      </c>
      <c r="BH10" s="2">
        <v>96</v>
      </c>
      <c r="BI10" s="2">
        <v>1936</v>
      </c>
      <c r="BJ10" s="2">
        <v>1460</v>
      </c>
      <c r="BK10" s="2"/>
      <c r="BM10" s="20" t="s">
        <v>48</v>
      </c>
      <c r="BN10" s="25">
        <f t="shared" si="9"/>
        <v>54.714285714285715</v>
      </c>
      <c r="BO10" s="25">
        <f t="shared" si="10"/>
        <v>9.2857142857142865</v>
      </c>
      <c r="BP10" s="25">
        <f t="shared" si="11"/>
        <v>10.285714285714286</v>
      </c>
      <c r="BQ10" s="25">
        <f t="shared" si="12"/>
        <v>16.857142857142858</v>
      </c>
      <c r="BR10" s="25">
        <f t="shared" si="13"/>
        <v>8</v>
      </c>
      <c r="BS10" s="25">
        <f t="shared" si="14"/>
        <v>1.5714285714285714</v>
      </c>
      <c r="BT10" s="25">
        <f t="shared" si="15"/>
        <v>3.1428571428571428</v>
      </c>
      <c r="BU10" s="25">
        <f t="shared" si="16"/>
        <v>5.5714285714285712</v>
      </c>
    </row>
    <row r="11" spans="1:73" x14ac:dyDescent="0.25">
      <c r="A11" s="28"/>
      <c r="B11" s="19" t="s">
        <v>368</v>
      </c>
      <c r="C11" s="2">
        <v>1922</v>
      </c>
      <c r="D11" s="2">
        <v>1539</v>
      </c>
      <c r="E11" s="28">
        <f t="shared" si="17"/>
        <v>0.8007284079084287</v>
      </c>
      <c r="F11" s="28"/>
      <c r="G11" s="28"/>
      <c r="H11" s="19" t="s">
        <v>55</v>
      </c>
      <c r="I11" s="2">
        <v>56</v>
      </c>
      <c r="J11" s="2">
        <v>17</v>
      </c>
      <c r="K11" s="2">
        <v>394</v>
      </c>
      <c r="L11" s="2">
        <v>344</v>
      </c>
      <c r="M11" s="2">
        <v>399</v>
      </c>
      <c r="N11" s="2">
        <v>323</v>
      </c>
      <c r="O11" s="2">
        <v>376</v>
      </c>
      <c r="P11" s="2">
        <v>266</v>
      </c>
      <c r="Q11" s="2">
        <v>350</v>
      </c>
      <c r="R11" s="2">
        <v>275</v>
      </c>
      <c r="S11" s="2">
        <v>216</v>
      </c>
      <c r="T11" s="2">
        <v>155</v>
      </c>
      <c r="U11" s="2">
        <v>126</v>
      </c>
      <c r="V11" s="2">
        <v>102</v>
      </c>
      <c r="W11" s="2">
        <v>1917</v>
      </c>
      <c r="X11" s="2">
        <v>1482</v>
      </c>
      <c r="Y11" s="2"/>
      <c r="Z11" s="28"/>
      <c r="AA11" s="20" t="s">
        <v>49</v>
      </c>
      <c r="AB11" s="28">
        <f t="shared" si="0"/>
        <v>0.8007284079084287</v>
      </c>
      <c r="AC11" s="28">
        <f t="shared" si="1"/>
        <v>0.875</v>
      </c>
      <c r="AD11" s="28">
        <f t="shared" si="2"/>
        <v>0.86265060240963853</v>
      </c>
      <c r="AE11" s="28">
        <f t="shared" si="3"/>
        <v>0.68617021276595747</v>
      </c>
      <c r="AF11" s="28">
        <f t="shared" si="4"/>
        <v>0.71212121212121215</v>
      </c>
      <c r="AG11" s="28">
        <f t="shared" si="5"/>
        <v>0.90551181102362199</v>
      </c>
      <c r="AH11" s="28">
        <f t="shared" si="6"/>
        <v>0.5178571428571429</v>
      </c>
      <c r="AI11" s="28">
        <f t="shared" si="7"/>
        <v>0.82285714285714284</v>
      </c>
      <c r="AJ11" s="28"/>
      <c r="AK11" s="28"/>
      <c r="AM11" s="19" t="s">
        <v>368</v>
      </c>
      <c r="AN11" s="2">
        <v>1922</v>
      </c>
      <c r="AO11" s="2">
        <v>1539</v>
      </c>
      <c r="AP11" s="26">
        <f t="shared" si="8"/>
        <v>54.714285714285715</v>
      </c>
      <c r="AQ11" s="52"/>
      <c r="AR11" s="26"/>
      <c r="AT11" s="19" t="s">
        <v>55</v>
      </c>
      <c r="AU11" s="2">
        <v>56</v>
      </c>
      <c r="AV11" s="2">
        <v>17</v>
      </c>
      <c r="AW11" s="2">
        <v>394</v>
      </c>
      <c r="AX11" s="2">
        <v>344</v>
      </c>
      <c r="AY11" s="2">
        <v>399</v>
      </c>
      <c r="AZ11" s="2">
        <v>323</v>
      </c>
      <c r="BA11" s="2">
        <v>376</v>
      </c>
      <c r="BB11" s="2">
        <v>266</v>
      </c>
      <c r="BC11" s="2">
        <v>350</v>
      </c>
      <c r="BD11" s="2">
        <v>275</v>
      </c>
      <c r="BE11" s="2">
        <v>216</v>
      </c>
      <c r="BF11" s="2">
        <v>155</v>
      </c>
      <c r="BG11" s="2">
        <v>126</v>
      </c>
      <c r="BH11" s="2">
        <v>102</v>
      </c>
      <c r="BI11" s="2">
        <v>1917</v>
      </c>
      <c r="BJ11" s="2">
        <v>1482</v>
      </c>
      <c r="BK11" s="2"/>
      <c r="BM11" s="20" t="s">
        <v>49</v>
      </c>
      <c r="BN11" s="25">
        <f t="shared" si="9"/>
        <v>54.714285714285715</v>
      </c>
      <c r="BO11" s="25">
        <f t="shared" si="10"/>
        <v>7.1428571428571432</v>
      </c>
      <c r="BP11" s="25">
        <f t="shared" si="11"/>
        <v>8.1428571428571423</v>
      </c>
      <c r="BQ11" s="25">
        <f t="shared" si="12"/>
        <v>16.857142857142858</v>
      </c>
      <c r="BR11" s="25">
        <f t="shared" si="13"/>
        <v>8.1428571428571423</v>
      </c>
      <c r="BS11" s="25">
        <f t="shared" si="14"/>
        <v>1.7142857142857142</v>
      </c>
      <c r="BT11" s="25">
        <f t="shared" si="15"/>
        <v>3.8571428571428572</v>
      </c>
      <c r="BU11" s="25">
        <f t="shared" si="16"/>
        <v>8.8571428571428577</v>
      </c>
    </row>
    <row r="12" spans="1:73" x14ac:dyDescent="0.25">
      <c r="A12" s="28"/>
      <c r="B12" s="19" t="s">
        <v>377</v>
      </c>
      <c r="C12" s="2">
        <v>1917</v>
      </c>
      <c r="D12" s="2">
        <v>1527</v>
      </c>
      <c r="E12" s="28">
        <f t="shared" si="17"/>
        <v>0.79655712050078242</v>
      </c>
      <c r="F12" s="28"/>
      <c r="G12" s="28"/>
      <c r="H12" s="19" t="s">
        <v>56</v>
      </c>
      <c r="I12" s="2">
        <v>56</v>
      </c>
      <c r="J12" s="2">
        <v>15</v>
      </c>
      <c r="K12" s="2">
        <v>405</v>
      </c>
      <c r="L12" s="2">
        <v>342</v>
      </c>
      <c r="M12" s="2">
        <v>400</v>
      </c>
      <c r="N12" s="2">
        <v>342</v>
      </c>
      <c r="O12" s="2">
        <v>378</v>
      </c>
      <c r="P12" s="2">
        <v>260</v>
      </c>
      <c r="Q12" s="2">
        <v>350</v>
      </c>
      <c r="R12" s="2">
        <v>305</v>
      </c>
      <c r="S12" s="2">
        <v>217</v>
      </c>
      <c r="T12" s="2">
        <v>152</v>
      </c>
      <c r="U12" s="2">
        <v>126</v>
      </c>
      <c r="V12" s="2">
        <v>99</v>
      </c>
      <c r="W12" s="2">
        <v>1932</v>
      </c>
      <c r="X12" s="2">
        <v>1515</v>
      </c>
      <c r="Y12" s="2"/>
      <c r="Z12" s="28"/>
      <c r="AA12" s="20" t="s">
        <v>50</v>
      </c>
      <c r="AB12" s="28">
        <f t="shared" si="0"/>
        <v>0.79655712050078242</v>
      </c>
      <c r="AC12" s="28">
        <f t="shared" si="1"/>
        <v>0.81954887218045114</v>
      </c>
      <c r="AD12" s="28">
        <f t="shared" si="2"/>
        <v>0.84158415841584155</v>
      </c>
      <c r="AE12" s="28">
        <f t="shared" si="3"/>
        <v>0.70588235294117652</v>
      </c>
      <c r="AF12" s="28">
        <f t="shared" si="4"/>
        <v>0.68932038834951459</v>
      </c>
      <c r="AG12" s="28">
        <f t="shared" si="5"/>
        <v>0.9453125</v>
      </c>
      <c r="AH12" s="28">
        <f t="shared" si="6"/>
        <v>0.44642857142857145</v>
      </c>
      <c r="AI12" s="28">
        <f t="shared" si="7"/>
        <v>0.88</v>
      </c>
      <c r="AJ12" s="28"/>
      <c r="AK12" s="28"/>
      <c r="AM12" s="19" t="s">
        <v>377</v>
      </c>
      <c r="AN12" s="2">
        <v>1917</v>
      </c>
      <c r="AO12" s="2">
        <v>1527</v>
      </c>
      <c r="AP12" s="26">
        <f t="shared" si="8"/>
        <v>55.714285714285715</v>
      </c>
      <c r="AQ12" s="52"/>
      <c r="AR12" s="26"/>
      <c r="AT12" s="19" t="s">
        <v>56</v>
      </c>
      <c r="AU12" s="2">
        <v>56</v>
      </c>
      <c r="AV12" s="2">
        <v>15</v>
      </c>
      <c r="AW12" s="2">
        <v>405</v>
      </c>
      <c r="AX12" s="2">
        <v>342</v>
      </c>
      <c r="AY12" s="2">
        <v>400</v>
      </c>
      <c r="AZ12" s="2">
        <v>342</v>
      </c>
      <c r="BA12" s="2">
        <v>378</v>
      </c>
      <c r="BB12" s="2">
        <v>260</v>
      </c>
      <c r="BC12" s="2">
        <v>350</v>
      </c>
      <c r="BD12" s="2">
        <v>305</v>
      </c>
      <c r="BE12" s="2">
        <v>217</v>
      </c>
      <c r="BF12" s="2">
        <v>152</v>
      </c>
      <c r="BG12" s="2">
        <v>126</v>
      </c>
      <c r="BH12" s="2">
        <v>99</v>
      </c>
      <c r="BI12" s="2">
        <v>1932</v>
      </c>
      <c r="BJ12" s="2">
        <v>1515</v>
      </c>
      <c r="BK12" s="2"/>
      <c r="BM12" s="20" t="s">
        <v>50</v>
      </c>
      <c r="BN12" s="25">
        <f t="shared" si="9"/>
        <v>55.714285714285715</v>
      </c>
      <c r="BO12" s="25">
        <f t="shared" si="10"/>
        <v>10.285714285714286</v>
      </c>
      <c r="BP12" s="25">
        <f t="shared" si="11"/>
        <v>9.1428571428571423</v>
      </c>
      <c r="BQ12" s="25">
        <f t="shared" si="12"/>
        <v>15.714285714285714</v>
      </c>
      <c r="BR12" s="25">
        <f t="shared" si="13"/>
        <v>9.1428571428571423</v>
      </c>
      <c r="BS12" s="25">
        <f t="shared" si="14"/>
        <v>1</v>
      </c>
      <c r="BT12" s="25">
        <f t="shared" si="15"/>
        <v>4.4285714285714288</v>
      </c>
      <c r="BU12" s="25">
        <f t="shared" si="16"/>
        <v>6</v>
      </c>
    </row>
    <row r="13" spans="1:73" x14ac:dyDescent="0.25">
      <c r="A13" s="28"/>
      <c r="B13" s="19" t="s">
        <v>386</v>
      </c>
      <c r="C13" s="2">
        <v>1942</v>
      </c>
      <c r="D13" s="2">
        <v>1509</v>
      </c>
      <c r="E13" s="28">
        <f t="shared" si="17"/>
        <v>0.77703398558187431</v>
      </c>
      <c r="F13" s="28"/>
      <c r="G13" s="28"/>
      <c r="H13" s="19" t="s">
        <v>45</v>
      </c>
      <c r="I13" s="2">
        <v>56</v>
      </c>
      <c r="J13" s="2">
        <v>33</v>
      </c>
      <c r="K13" s="2">
        <v>409</v>
      </c>
      <c r="L13" s="2">
        <v>387</v>
      </c>
      <c r="M13" s="2">
        <v>411</v>
      </c>
      <c r="N13" s="2">
        <v>367</v>
      </c>
      <c r="O13" s="2">
        <v>404</v>
      </c>
      <c r="P13" s="2">
        <v>288</v>
      </c>
      <c r="Q13" s="2">
        <v>350</v>
      </c>
      <c r="R13" s="2">
        <v>302</v>
      </c>
      <c r="S13" s="2">
        <v>217</v>
      </c>
      <c r="T13" s="2">
        <v>186</v>
      </c>
      <c r="U13" s="2">
        <v>126</v>
      </c>
      <c r="V13" s="2">
        <v>121</v>
      </c>
      <c r="W13" s="2">
        <v>1973</v>
      </c>
      <c r="X13" s="2">
        <v>1684</v>
      </c>
      <c r="Y13" s="2"/>
      <c r="Z13" s="28"/>
      <c r="AA13" s="20" t="s">
        <v>51</v>
      </c>
      <c r="AB13" s="28">
        <f t="shared" si="0"/>
        <v>0.77703398558187431</v>
      </c>
      <c r="AC13" s="28">
        <f t="shared" si="1"/>
        <v>0.8571428571428571</v>
      </c>
      <c r="AD13" s="28">
        <f t="shared" si="2"/>
        <v>0.81009615384615385</v>
      </c>
      <c r="AE13" s="28">
        <f t="shared" si="3"/>
        <v>0.69047619047619047</v>
      </c>
      <c r="AF13" s="28">
        <f t="shared" si="4"/>
        <v>0.59907834101382484</v>
      </c>
      <c r="AG13" s="28">
        <f t="shared" si="5"/>
        <v>0.93650793650793651</v>
      </c>
      <c r="AH13" s="28">
        <f t="shared" si="6"/>
        <v>0.5</v>
      </c>
      <c r="AI13" s="28">
        <f t="shared" si="7"/>
        <v>0.83714285714285719</v>
      </c>
      <c r="AJ13" s="28"/>
      <c r="AK13" s="28"/>
      <c r="AM13" s="19" t="s">
        <v>386</v>
      </c>
      <c r="AN13" s="2">
        <v>1942</v>
      </c>
      <c r="AO13" s="2">
        <v>1509</v>
      </c>
      <c r="AP13" s="26">
        <f t="shared" si="8"/>
        <v>61.857142857142854</v>
      </c>
      <c r="AQ13" s="52"/>
      <c r="AR13" s="26"/>
      <c r="AT13" s="19" t="s">
        <v>45</v>
      </c>
      <c r="AU13" s="2">
        <v>56</v>
      </c>
      <c r="AV13" s="2">
        <v>33</v>
      </c>
      <c r="AW13" s="2">
        <v>409</v>
      </c>
      <c r="AX13" s="2">
        <v>387</v>
      </c>
      <c r="AY13" s="2">
        <v>411</v>
      </c>
      <c r="AZ13" s="2">
        <v>367</v>
      </c>
      <c r="BA13" s="2">
        <v>404</v>
      </c>
      <c r="BB13" s="2">
        <v>288</v>
      </c>
      <c r="BC13" s="2">
        <v>350</v>
      </c>
      <c r="BD13" s="2">
        <v>302</v>
      </c>
      <c r="BE13" s="2">
        <v>217</v>
      </c>
      <c r="BF13" s="2">
        <v>186</v>
      </c>
      <c r="BG13" s="2">
        <v>126</v>
      </c>
      <c r="BH13" s="2">
        <v>121</v>
      </c>
      <c r="BI13" s="2">
        <v>1973</v>
      </c>
      <c r="BJ13" s="2">
        <v>1684</v>
      </c>
      <c r="BK13" s="2"/>
      <c r="BM13" s="20" t="s">
        <v>51</v>
      </c>
      <c r="BN13" s="25">
        <f t="shared" si="9"/>
        <v>61.857142857142854</v>
      </c>
      <c r="BO13" s="25">
        <f t="shared" si="10"/>
        <v>8.1428571428571423</v>
      </c>
      <c r="BP13" s="25">
        <f t="shared" si="11"/>
        <v>11.285714285714286</v>
      </c>
      <c r="BQ13" s="25">
        <f t="shared" si="12"/>
        <v>16.714285714285715</v>
      </c>
      <c r="BR13" s="25">
        <f t="shared" si="13"/>
        <v>12.428571428571429</v>
      </c>
      <c r="BS13" s="25">
        <f t="shared" si="14"/>
        <v>1.1428571428571428</v>
      </c>
      <c r="BT13" s="25">
        <f t="shared" si="15"/>
        <v>4</v>
      </c>
      <c r="BU13" s="25">
        <f t="shared" si="16"/>
        <v>8.1428571428571423</v>
      </c>
    </row>
    <row r="14" spans="1:73" x14ac:dyDescent="0.25">
      <c r="A14" s="28"/>
      <c r="B14" s="19" t="s">
        <v>395</v>
      </c>
      <c r="C14" s="2">
        <v>1928</v>
      </c>
      <c r="D14" s="2">
        <v>1508</v>
      </c>
      <c r="E14" s="28">
        <f t="shared" si="17"/>
        <v>0.78215767634854771</v>
      </c>
      <c r="F14" s="28"/>
      <c r="G14" s="28"/>
      <c r="H14" s="19" t="s">
        <v>46</v>
      </c>
      <c r="I14" s="2">
        <v>56</v>
      </c>
      <c r="J14" s="2">
        <v>34</v>
      </c>
      <c r="K14" s="2">
        <v>409</v>
      </c>
      <c r="L14" s="2">
        <v>386</v>
      </c>
      <c r="M14" s="2">
        <v>407</v>
      </c>
      <c r="N14" s="2">
        <v>359</v>
      </c>
      <c r="O14" s="2">
        <v>406</v>
      </c>
      <c r="P14" s="2">
        <v>286</v>
      </c>
      <c r="Q14" s="2">
        <v>350</v>
      </c>
      <c r="R14" s="2">
        <v>303</v>
      </c>
      <c r="S14" s="2">
        <v>223</v>
      </c>
      <c r="T14" s="2">
        <v>201</v>
      </c>
      <c r="U14" s="2">
        <v>128</v>
      </c>
      <c r="V14" s="2">
        <v>122</v>
      </c>
      <c r="W14" s="2">
        <v>1979</v>
      </c>
      <c r="X14" s="2">
        <v>1691</v>
      </c>
      <c r="Y14" s="2"/>
      <c r="Z14" s="28"/>
      <c r="AA14" s="20" t="s">
        <v>52</v>
      </c>
      <c r="AB14" s="28">
        <f t="shared" si="0"/>
        <v>0.78215767634854771</v>
      </c>
      <c r="AC14" s="28">
        <f t="shared" si="1"/>
        <v>0.86901763224181361</v>
      </c>
      <c r="AD14" s="28">
        <f t="shared" si="2"/>
        <v>0.80343980343980348</v>
      </c>
      <c r="AE14" s="28">
        <f t="shared" si="3"/>
        <v>0.61599999999999999</v>
      </c>
      <c r="AF14" s="28">
        <f t="shared" si="4"/>
        <v>0.78801843317972353</v>
      </c>
      <c r="AG14" s="28">
        <f t="shared" si="5"/>
        <v>0.95238095238095233</v>
      </c>
      <c r="AH14" s="28">
        <f t="shared" si="6"/>
        <v>0.4107142857142857</v>
      </c>
      <c r="AI14" s="28">
        <f t="shared" si="7"/>
        <v>0.83142857142857141</v>
      </c>
      <c r="AJ14" s="28"/>
      <c r="AK14" s="28"/>
      <c r="AM14" s="19" t="s">
        <v>395</v>
      </c>
      <c r="AN14" s="2">
        <v>1928</v>
      </c>
      <c r="AO14" s="2">
        <v>1508</v>
      </c>
      <c r="AP14" s="26">
        <f t="shared" si="8"/>
        <v>60</v>
      </c>
      <c r="AQ14" s="52"/>
      <c r="AR14" s="26"/>
      <c r="AT14" s="19" t="s">
        <v>46</v>
      </c>
      <c r="AU14" s="2">
        <v>56</v>
      </c>
      <c r="AV14" s="2">
        <v>34</v>
      </c>
      <c r="AW14" s="2">
        <v>409</v>
      </c>
      <c r="AX14" s="2">
        <v>386</v>
      </c>
      <c r="AY14" s="2">
        <v>407</v>
      </c>
      <c r="AZ14" s="2">
        <v>359</v>
      </c>
      <c r="BA14" s="2">
        <v>406</v>
      </c>
      <c r="BB14" s="2">
        <v>286</v>
      </c>
      <c r="BC14" s="2">
        <v>350</v>
      </c>
      <c r="BD14" s="2">
        <v>303</v>
      </c>
      <c r="BE14" s="2">
        <v>223</v>
      </c>
      <c r="BF14" s="2">
        <v>201</v>
      </c>
      <c r="BG14" s="2">
        <v>128</v>
      </c>
      <c r="BH14" s="2">
        <v>122</v>
      </c>
      <c r="BI14" s="2">
        <v>1979</v>
      </c>
      <c r="BJ14" s="2">
        <v>1691</v>
      </c>
      <c r="BK14" s="2"/>
      <c r="BM14" s="20" t="s">
        <v>52</v>
      </c>
      <c r="BN14" s="25">
        <f t="shared" si="9"/>
        <v>60</v>
      </c>
      <c r="BO14" s="25">
        <f t="shared" si="10"/>
        <v>7.4285714285714288</v>
      </c>
      <c r="BP14" s="25">
        <f t="shared" si="11"/>
        <v>11.428571428571429</v>
      </c>
      <c r="BQ14" s="25">
        <f t="shared" si="12"/>
        <v>20.571428571428573</v>
      </c>
      <c r="BR14" s="25">
        <f t="shared" si="13"/>
        <v>6.5714285714285712</v>
      </c>
      <c r="BS14" s="25">
        <f t="shared" si="14"/>
        <v>0.8571428571428571</v>
      </c>
      <c r="BT14" s="25">
        <f t="shared" si="15"/>
        <v>4.7142857142857144</v>
      </c>
      <c r="BU14" s="25">
        <f t="shared" si="16"/>
        <v>8.4285714285714288</v>
      </c>
    </row>
    <row r="15" spans="1:73" x14ac:dyDescent="0.25">
      <c r="A15" s="28"/>
      <c r="B15" s="19" t="s">
        <v>404</v>
      </c>
      <c r="C15" s="2">
        <v>1933</v>
      </c>
      <c r="D15" s="2">
        <v>1537</v>
      </c>
      <c r="E15" s="28">
        <f t="shared" si="17"/>
        <v>0.7951370926021728</v>
      </c>
      <c r="F15" s="28"/>
      <c r="G15" s="28"/>
      <c r="H15" s="19" t="s">
        <v>47</v>
      </c>
      <c r="I15" s="2">
        <v>56</v>
      </c>
      <c r="J15" s="2">
        <v>34</v>
      </c>
      <c r="K15" s="2">
        <v>407</v>
      </c>
      <c r="L15" s="2">
        <v>376</v>
      </c>
      <c r="M15" s="2">
        <v>401</v>
      </c>
      <c r="N15" s="2">
        <v>342</v>
      </c>
      <c r="O15" s="2">
        <v>377</v>
      </c>
      <c r="P15" s="2">
        <v>241</v>
      </c>
      <c r="Q15" s="2">
        <v>350</v>
      </c>
      <c r="R15" s="2">
        <v>301</v>
      </c>
      <c r="S15" s="2">
        <v>218</v>
      </c>
      <c r="T15" s="2">
        <v>179</v>
      </c>
      <c r="U15" s="2">
        <v>126</v>
      </c>
      <c r="V15" s="2">
        <v>114</v>
      </c>
      <c r="W15" s="2">
        <v>1935</v>
      </c>
      <c r="X15" s="2">
        <v>1587</v>
      </c>
      <c r="Y15" s="2"/>
      <c r="Z15" s="28"/>
      <c r="AA15" s="20" t="s">
        <v>53</v>
      </c>
      <c r="AB15" s="28">
        <f t="shared" si="0"/>
        <v>0.7951370926021728</v>
      </c>
      <c r="AC15" s="28">
        <f t="shared" si="1"/>
        <v>0.8854961832061069</v>
      </c>
      <c r="AD15" s="28">
        <f t="shared" si="2"/>
        <v>0.82107843137254899</v>
      </c>
      <c r="AE15" s="28">
        <f t="shared" si="3"/>
        <v>0.66402116402116407</v>
      </c>
      <c r="AF15" s="28">
        <f t="shared" si="4"/>
        <v>0.84090909090909094</v>
      </c>
      <c r="AG15" s="28">
        <f t="shared" si="5"/>
        <v>0.828125</v>
      </c>
      <c r="AH15" s="28">
        <f t="shared" si="6"/>
        <v>0.32142857142857145</v>
      </c>
      <c r="AI15" s="28">
        <f t="shared" si="7"/>
        <v>0.84</v>
      </c>
      <c r="AJ15" s="28"/>
      <c r="AK15" s="28"/>
      <c r="AM15" s="19" t="s">
        <v>404</v>
      </c>
      <c r="AN15" s="2">
        <v>1933</v>
      </c>
      <c r="AO15" s="2">
        <v>1537</v>
      </c>
      <c r="AP15" s="26">
        <f t="shared" si="8"/>
        <v>56.571428571428569</v>
      </c>
      <c r="AQ15" s="52"/>
      <c r="AR15" s="26"/>
      <c r="AT15" s="19" t="s">
        <v>47</v>
      </c>
      <c r="AU15" s="2">
        <v>56</v>
      </c>
      <c r="AV15" s="2">
        <v>34</v>
      </c>
      <c r="AW15" s="2">
        <v>407</v>
      </c>
      <c r="AX15" s="2">
        <v>376</v>
      </c>
      <c r="AY15" s="2">
        <v>401</v>
      </c>
      <c r="AZ15" s="2">
        <v>342</v>
      </c>
      <c r="BA15" s="2">
        <v>377</v>
      </c>
      <c r="BB15" s="2">
        <v>241</v>
      </c>
      <c r="BC15" s="2">
        <v>350</v>
      </c>
      <c r="BD15" s="2">
        <v>301</v>
      </c>
      <c r="BE15" s="2">
        <v>218</v>
      </c>
      <c r="BF15" s="2">
        <v>179</v>
      </c>
      <c r="BG15" s="2">
        <v>126</v>
      </c>
      <c r="BH15" s="2">
        <v>114</v>
      </c>
      <c r="BI15" s="2">
        <v>1935</v>
      </c>
      <c r="BJ15" s="2">
        <v>1587</v>
      </c>
      <c r="BK15" s="2"/>
      <c r="BM15" s="20" t="s">
        <v>53</v>
      </c>
      <c r="BN15" s="25">
        <f t="shared" si="9"/>
        <v>56.571428571428569</v>
      </c>
      <c r="BO15" s="25">
        <f t="shared" si="10"/>
        <v>6.4285714285714288</v>
      </c>
      <c r="BP15" s="25">
        <f t="shared" si="11"/>
        <v>10.428571428571429</v>
      </c>
      <c r="BQ15" s="25">
        <f t="shared" si="12"/>
        <v>18.142857142857142</v>
      </c>
      <c r="BR15" s="25">
        <f t="shared" si="13"/>
        <v>5</v>
      </c>
      <c r="BS15" s="25">
        <f t="shared" si="14"/>
        <v>3.1428571428571428</v>
      </c>
      <c r="BT15" s="25">
        <f t="shared" si="15"/>
        <v>5.4285714285714288</v>
      </c>
      <c r="BU15" s="25">
        <f t="shared" si="16"/>
        <v>8</v>
      </c>
    </row>
    <row r="16" spans="1:73" x14ac:dyDescent="0.25">
      <c r="A16" s="28"/>
      <c r="B16" s="19" t="s">
        <v>413</v>
      </c>
      <c r="C16" s="2">
        <v>1936</v>
      </c>
      <c r="D16" s="2">
        <v>1460</v>
      </c>
      <c r="E16" s="28">
        <f t="shared" si="17"/>
        <v>0.75413223140495866</v>
      </c>
      <c r="F16" s="28"/>
      <c r="G16" s="28"/>
      <c r="H16" s="19" t="s">
        <v>48</v>
      </c>
      <c r="I16" s="2">
        <v>56</v>
      </c>
      <c r="J16" s="2">
        <v>34</v>
      </c>
      <c r="K16" s="2">
        <v>401</v>
      </c>
      <c r="L16" s="2">
        <v>336</v>
      </c>
      <c r="M16" s="2">
        <v>414</v>
      </c>
      <c r="N16" s="2">
        <v>342</v>
      </c>
      <c r="O16" s="2">
        <v>376</v>
      </c>
      <c r="P16" s="2">
        <v>258</v>
      </c>
      <c r="Q16" s="2">
        <v>350</v>
      </c>
      <c r="R16" s="2">
        <v>311</v>
      </c>
      <c r="S16" s="2">
        <v>224</v>
      </c>
      <c r="T16" s="2">
        <v>168</v>
      </c>
      <c r="U16" s="2">
        <v>108</v>
      </c>
      <c r="V16" s="2">
        <v>97</v>
      </c>
      <c r="W16" s="2">
        <v>1929</v>
      </c>
      <c r="X16" s="2">
        <v>1546</v>
      </c>
      <c r="Y16" s="2"/>
      <c r="Z16" s="28"/>
      <c r="AA16" s="20" t="s">
        <v>54</v>
      </c>
      <c r="AB16" s="28">
        <f t="shared" si="0"/>
        <v>0.75413223140495866</v>
      </c>
      <c r="AC16" s="28">
        <f t="shared" si="1"/>
        <v>0.81909547738693467</v>
      </c>
      <c r="AD16" s="28">
        <f t="shared" si="2"/>
        <v>0.81021897810218979</v>
      </c>
      <c r="AE16" s="28">
        <f t="shared" si="3"/>
        <v>0.66666666666666663</v>
      </c>
      <c r="AF16" s="28">
        <f t="shared" si="4"/>
        <v>0.62672811059907829</v>
      </c>
      <c r="AG16" s="28">
        <f t="shared" si="5"/>
        <v>0.76190476190476186</v>
      </c>
      <c r="AH16" s="28">
        <f t="shared" si="6"/>
        <v>0.3392857142857143</v>
      </c>
      <c r="AI16" s="28">
        <f t="shared" si="7"/>
        <v>0.85142857142857142</v>
      </c>
      <c r="AJ16" s="28"/>
      <c r="AK16" s="28"/>
      <c r="AM16" s="19" t="s">
        <v>413</v>
      </c>
      <c r="AN16" s="2">
        <v>1936</v>
      </c>
      <c r="AO16" s="2">
        <v>1460</v>
      </c>
      <c r="AP16" s="26">
        <f t="shared" si="8"/>
        <v>68</v>
      </c>
      <c r="AQ16" s="52"/>
      <c r="AR16" s="26"/>
      <c r="AT16" s="19" t="s">
        <v>48</v>
      </c>
      <c r="AU16" s="2">
        <v>56</v>
      </c>
      <c r="AV16" s="2">
        <v>34</v>
      </c>
      <c r="AW16" s="2">
        <v>401</v>
      </c>
      <c r="AX16" s="2">
        <v>336</v>
      </c>
      <c r="AY16" s="2">
        <v>414</v>
      </c>
      <c r="AZ16" s="2">
        <v>342</v>
      </c>
      <c r="BA16" s="2">
        <v>376</v>
      </c>
      <c r="BB16" s="2">
        <v>258</v>
      </c>
      <c r="BC16" s="2">
        <v>350</v>
      </c>
      <c r="BD16" s="2">
        <v>311</v>
      </c>
      <c r="BE16" s="2">
        <v>224</v>
      </c>
      <c r="BF16" s="2">
        <v>168</v>
      </c>
      <c r="BG16" s="2">
        <v>108</v>
      </c>
      <c r="BH16" s="2">
        <v>97</v>
      </c>
      <c r="BI16" s="2">
        <v>1929</v>
      </c>
      <c r="BJ16" s="2">
        <v>1546</v>
      </c>
      <c r="BK16" s="2"/>
      <c r="BM16" s="20" t="s">
        <v>54</v>
      </c>
      <c r="BN16" s="25">
        <f t="shared" si="9"/>
        <v>68</v>
      </c>
      <c r="BO16" s="25">
        <f t="shared" si="10"/>
        <v>10.285714285714286</v>
      </c>
      <c r="BP16" s="25">
        <f t="shared" si="11"/>
        <v>11.142857142857142</v>
      </c>
      <c r="BQ16" s="25">
        <f t="shared" si="12"/>
        <v>18</v>
      </c>
      <c r="BR16" s="25">
        <f t="shared" si="13"/>
        <v>11.571428571428571</v>
      </c>
      <c r="BS16" s="25">
        <f t="shared" si="14"/>
        <v>4.2857142857142856</v>
      </c>
      <c r="BT16" s="25">
        <f t="shared" si="15"/>
        <v>5.2857142857142856</v>
      </c>
      <c r="BU16" s="25">
        <f t="shared" si="16"/>
        <v>7.4285714285714288</v>
      </c>
    </row>
    <row r="17" spans="1:73" x14ac:dyDescent="0.25">
      <c r="A17" s="28"/>
      <c r="B17" s="19" t="s">
        <v>422</v>
      </c>
      <c r="C17" s="2">
        <v>1917</v>
      </c>
      <c r="D17" s="2">
        <v>1482</v>
      </c>
      <c r="E17" s="28">
        <f t="shared" si="17"/>
        <v>0.77308294209702655</v>
      </c>
      <c r="F17" s="28"/>
      <c r="G17" s="28"/>
      <c r="H17" s="19" t="s">
        <v>49</v>
      </c>
      <c r="I17" s="2">
        <v>56</v>
      </c>
      <c r="J17" s="2">
        <v>29</v>
      </c>
      <c r="K17" s="2">
        <v>400</v>
      </c>
      <c r="L17" s="2">
        <v>350</v>
      </c>
      <c r="M17" s="2">
        <v>415</v>
      </c>
      <c r="N17" s="2">
        <v>358</v>
      </c>
      <c r="O17" s="2">
        <v>376</v>
      </c>
      <c r="P17" s="2">
        <v>258</v>
      </c>
      <c r="Q17" s="2">
        <v>350</v>
      </c>
      <c r="R17" s="2">
        <v>288</v>
      </c>
      <c r="S17" s="2">
        <v>198</v>
      </c>
      <c r="T17" s="2">
        <v>141</v>
      </c>
      <c r="U17" s="2">
        <v>127</v>
      </c>
      <c r="V17" s="2">
        <v>115</v>
      </c>
      <c r="W17" s="2">
        <v>1922</v>
      </c>
      <c r="X17" s="2">
        <v>1539</v>
      </c>
      <c r="Y17" s="2"/>
      <c r="Z17" s="28"/>
      <c r="AA17" s="20" t="s">
        <v>55</v>
      </c>
      <c r="AB17" s="28">
        <f t="shared" si="0"/>
        <v>0.77308294209702655</v>
      </c>
      <c r="AC17" s="28">
        <f t="shared" si="1"/>
        <v>0.87309644670050757</v>
      </c>
      <c r="AD17" s="28">
        <f t="shared" si="2"/>
        <v>0.80952380952380953</v>
      </c>
      <c r="AE17" s="28">
        <f t="shared" si="3"/>
        <v>0.70744680851063835</v>
      </c>
      <c r="AF17" s="28">
        <f t="shared" si="4"/>
        <v>0.71759259259259256</v>
      </c>
      <c r="AG17" s="28">
        <f t="shared" si="5"/>
        <v>0.80952380952380953</v>
      </c>
      <c r="AH17" s="28">
        <f t="shared" si="6"/>
        <v>0.30357142857142855</v>
      </c>
      <c r="AI17" s="28">
        <f t="shared" si="7"/>
        <v>0.7857142857142857</v>
      </c>
      <c r="AJ17" s="28"/>
      <c r="AK17" s="28"/>
      <c r="AM17" s="19" t="s">
        <v>422</v>
      </c>
      <c r="AN17" s="2">
        <v>1917</v>
      </c>
      <c r="AO17" s="2">
        <v>1482</v>
      </c>
      <c r="AP17" s="26">
        <f t="shared" si="8"/>
        <v>62.142857142857146</v>
      </c>
      <c r="AQ17" s="52"/>
      <c r="AR17" s="26"/>
      <c r="AT17" s="19" t="s">
        <v>49</v>
      </c>
      <c r="AU17" s="2">
        <v>56</v>
      </c>
      <c r="AV17" s="2">
        <v>29</v>
      </c>
      <c r="AW17" s="2">
        <v>400</v>
      </c>
      <c r="AX17" s="2">
        <v>350</v>
      </c>
      <c r="AY17" s="2">
        <v>415</v>
      </c>
      <c r="AZ17" s="2">
        <v>358</v>
      </c>
      <c r="BA17" s="2">
        <v>376</v>
      </c>
      <c r="BB17" s="2">
        <v>258</v>
      </c>
      <c r="BC17" s="2">
        <v>350</v>
      </c>
      <c r="BD17" s="2">
        <v>288</v>
      </c>
      <c r="BE17" s="2">
        <v>198</v>
      </c>
      <c r="BF17" s="2">
        <v>141</v>
      </c>
      <c r="BG17" s="2">
        <v>127</v>
      </c>
      <c r="BH17" s="2">
        <v>115</v>
      </c>
      <c r="BI17" s="2">
        <v>1922</v>
      </c>
      <c r="BJ17" s="2">
        <v>1539</v>
      </c>
      <c r="BK17" s="2"/>
      <c r="BM17" s="20" t="s">
        <v>55</v>
      </c>
      <c r="BN17" s="25">
        <f t="shared" si="9"/>
        <v>62.142857142857146</v>
      </c>
      <c r="BO17" s="25">
        <f t="shared" si="10"/>
        <v>7.1428571428571432</v>
      </c>
      <c r="BP17" s="25">
        <f t="shared" si="11"/>
        <v>10.857142857142858</v>
      </c>
      <c r="BQ17" s="25">
        <f t="shared" si="12"/>
        <v>15.714285714285714</v>
      </c>
      <c r="BR17" s="25">
        <f t="shared" si="13"/>
        <v>8.7142857142857135</v>
      </c>
      <c r="BS17" s="25">
        <f t="shared" si="14"/>
        <v>3.4285714285714284</v>
      </c>
      <c r="BT17" s="25">
        <f t="shared" si="15"/>
        <v>5.5714285714285712</v>
      </c>
      <c r="BU17" s="25">
        <f t="shared" si="16"/>
        <v>10.714285714285714</v>
      </c>
    </row>
    <row r="18" spans="1:73" x14ac:dyDescent="0.25">
      <c r="A18" s="28"/>
      <c r="B18" s="19" t="s">
        <v>431</v>
      </c>
      <c r="C18" s="2">
        <v>1932</v>
      </c>
      <c r="D18" s="2">
        <v>1515</v>
      </c>
      <c r="E18" s="28">
        <f t="shared" si="17"/>
        <v>0.78416149068322982</v>
      </c>
      <c r="F18" s="28"/>
      <c r="G18" s="28"/>
      <c r="H18" s="19" t="s">
        <v>50</v>
      </c>
      <c r="I18" s="2">
        <v>56</v>
      </c>
      <c r="J18" s="2">
        <v>25</v>
      </c>
      <c r="K18" s="2">
        <v>399</v>
      </c>
      <c r="L18" s="2">
        <v>327</v>
      </c>
      <c r="M18" s="2">
        <v>404</v>
      </c>
      <c r="N18" s="2">
        <v>340</v>
      </c>
      <c r="O18" s="2">
        <v>374</v>
      </c>
      <c r="P18" s="2">
        <v>264</v>
      </c>
      <c r="Q18" s="2">
        <v>350</v>
      </c>
      <c r="R18" s="2">
        <v>308</v>
      </c>
      <c r="S18" s="2">
        <v>206</v>
      </c>
      <c r="T18" s="2">
        <v>142</v>
      </c>
      <c r="U18" s="2">
        <v>128</v>
      </c>
      <c r="V18" s="2">
        <v>121</v>
      </c>
      <c r="W18" s="2">
        <v>1917</v>
      </c>
      <c r="X18" s="2">
        <v>1527</v>
      </c>
      <c r="Y18" s="2"/>
      <c r="Z18" s="28"/>
      <c r="AA18" s="20" t="s">
        <v>56</v>
      </c>
      <c r="AB18" s="28">
        <f t="shared" si="0"/>
        <v>0.78416149068322982</v>
      </c>
      <c r="AC18" s="28">
        <f t="shared" si="1"/>
        <v>0.84444444444444444</v>
      </c>
      <c r="AD18" s="28">
        <f t="shared" si="2"/>
        <v>0.85499999999999998</v>
      </c>
      <c r="AE18" s="28">
        <f t="shared" si="3"/>
        <v>0.68783068783068779</v>
      </c>
      <c r="AF18" s="28">
        <f t="shared" si="4"/>
        <v>0.70046082949308752</v>
      </c>
      <c r="AG18" s="28">
        <f t="shared" si="5"/>
        <v>0.7857142857142857</v>
      </c>
      <c r="AH18" s="28">
        <f t="shared" si="6"/>
        <v>0.26785714285714285</v>
      </c>
      <c r="AI18" s="28">
        <f>VLOOKUP($AA18,$H$8:$X$1048576,11,FALSE)/VLOOKUP($AA18,$H$8:$X$1048576,10,FALSE)</f>
        <v>0.87142857142857144</v>
      </c>
      <c r="AJ18" s="28"/>
      <c r="AK18" s="28"/>
      <c r="AM18" s="19" t="s">
        <v>431</v>
      </c>
      <c r="AN18" s="2">
        <v>1932</v>
      </c>
      <c r="AO18" s="2">
        <v>1515</v>
      </c>
      <c r="AP18" s="26">
        <f t="shared" si="8"/>
        <v>59.571428571428569</v>
      </c>
      <c r="AQ18" s="52"/>
      <c r="AR18" s="26"/>
      <c r="AT18" s="19" t="s">
        <v>50</v>
      </c>
      <c r="AU18" s="2">
        <v>56</v>
      </c>
      <c r="AV18" s="2">
        <v>25</v>
      </c>
      <c r="AW18" s="2">
        <v>399</v>
      </c>
      <c r="AX18" s="2">
        <v>327</v>
      </c>
      <c r="AY18" s="2">
        <v>404</v>
      </c>
      <c r="AZ18" s="2">
        <v>340</v>
      </c>
      <c r="BA18" s="2">
        <v>374</v>
      </c>
      <c r="BB18" s="2">
        <v>264</v>
      </c>
      <c r="BC18" s="2">
        <v>350</v>
      </c>
      <c r="BD18" s="2">
        <v>308</v>
      </c>
      <c r="BE18" s="2">
        <v>206</v>
      </c>
      <c r="BF18" s="2">
        <v>142</v>
      </c>
      <c r="BG18" s="2">
        <v>128</v>
      </c>
      <c r="BH18" s="2">
        <v>121</v>
      </c>
      <c r="BI18" s="2">
        <v>1917</v>
      </c>
      <c r="BJ18" s="2">
        <v>1527</v>
      </c>
      <c r="BK18" s="2"/>
      <c r="BM18" s="20" t="s">
        <v>56</v>
      </c>
      <c r="BN18" s="25">
        <f t="shared" si="9"/>
        <v>59.571428571428569</v>
      </c>
      <c r="BO18" s="25">
        <f t="shared" si="10"/>
        <v>9</v>
      </c>
      <c r="BP18" s="25">
        <f t="shared" si="11"/>
        <v>8.2857142857142865</v>
      </c>
      <c r="BQ18" s="25">
        <f t="shared" si="12"/>
        <v>16.857142857142858</v>
      </c>
      <c r="BR18" s="25">
        <f t="shared" si="13"/>
        <v>9.2857142857142865</v>
      </c>
      <c r="BS18" s="25">
        <f t="shared" si="14"/>
        <v>3.8571428571428572</v>
      </c>
      <c r="BT18" s="25">
        <f t="shared" si="15"/>
        <v>5.8571428571428568</v>
      </c>
      <c r="BU18" s="25">
        <f t="shared" si="16"/>
        <v>6.4285714285714288</v>
      </c>
    </row>
    <row r="19" spans="1:73" x14ac:dyDescent="0.25">
      <c r="A19" s="28"/>
      <c r="B19"/>
      <c r="C19"/>
      <c r="D19"/>
      <c r="E19" s="28" t="e">
        <f t="shared" si="17"/>
        <v>#DIV/0!</v>
      </c>
      <c r="F19" s="28"/>
      <c r="G19" s="28"/>
      <c r="H19" s="19" t="s">
        <v>51</v>
      </c>
      <c r="I19" s="2">
        <v>56</v>
      </c>
      <c r="J19" s="2">
        <v>28</v>
      </c>
      <c r="K19" s="2">
        <v>399</v>
      </c>
      <c r="L19" s="2">
        <v>342</v>
      </c>
      <c r="M19" s="2">
        <v>416</v>
      </c>
      <c r="N19" s="2">
        <v>337</v>
      </c>
      <c r="O19" s="2">
        <v>378</v>
      </c>
      <c r="P19" s="2">
        <v>261</v>
      </c>
      <c r="Q19" s="2">
        <v>350</v>
      </c>
      <c r="R19" s="2">
        <v>293</v>
      </c>
      <c r="S19" s="2">
        <v>217</v>
      </c>
      <c r="T19" s="2">
        <v>130</v>
      </c>
      <c r="U19" s="2">
        <v>126</v>
      </c>
      <c r="V19" s="2">
        <v>118</v>
      </c>
      <c r="W19" s="2">
        <v>1942</v>
      </c>
      <c r="X19" s="2">
        <v>1509</v>
      </c>
      <c r="Y19" s="2"/>
      <c r="Z19" s="28"/>
      <c r="AA19" s="20"/>
      <c r="AB19" s="28"/>
      <c r="AC19" s="28"/>
      <c r="AD19" s="28"/>
      <c r="AE19" s="28"/>
      <c r="AF19" s="28"/>
      <c r="AG19" s="28"/>
      <c r="AH19" s="28"/>
      <c r="AI19" s="28"/>
      <c r="AJ19" s="28"/>
      <c r="AK19" s="28"/>
      <c r="AP19" s="26">
        <f t="shared" si="8"/>
        <v>0</v>
      </c>
      <c r="AQ19" s="52"/>
      <c r="AR19" s="26"/>
      <c r="AT19" s="19" t="s">
        <v>51</v>
      </c>
      <c r="AU19" s="2">
        <v>56</v>
      </c>
      <c r="AV19" s="2">
        <v>28</v>
      </c>
      <c r="AW19" s="2">
        <v>399</v>
      </c>
      <c r="AX19" s="2">
        <v>342</v>
      </c>
      <c r="AY19" s="2">
        <v>416</v>
      </c>
      <c r="AZ19" s="2">
        <v>337</v>
      </c>
      <c r="BA19" s="2">
        <v>378</v>
      </c>
      <c r="BB19" s="2">
        <v>261</v>
      </c>
      <c r="BC19" s="2">
        <v>350</v>
      </c>
      <c r="BD19" s="2">
        <v>293</v>
      </c>
      <c r="BE19" s="2">
        <v>217</v>
      </c>
      <c r="BF19" s="2">
        <v>130</v>
      </c>
      <c r="BG19" s="2">
        <v>126</v>
      </c>
      <c r="BH19" s="2">
        <v>118</v>
      </c>
      <c r="BI19" s="2">
        <v>1942</v>
      </c>
      <c r="BJ19" s="2">
        <v>1509</v>
      </c>
      <c r="BK19" s="2"/>
      <c r="BM19" s="20"/>
      <c r="BN19" s="25"/>
      <c r="BO19" s="25"/>
      <c r="BP19" s="25"/>
      <c r="BQ19" s="25"/>
      <c r="BR19" s="25"/>
      <c r="BS19" s="25"/>
      <c r="BT19" s="26"/>
    </row>
    <row r="20" spans="1:73" x14ac:dyDescent="0.25">
      <c r="A20" s="28"/>
      <c r="B20"/>
      <c r="C20"/>
      <c r="D20"/>
      <c r="E20" s="28" t="e">
        <f t="shared" si="17"/>
        <v>#DIV/0!</v>
      </c>
      <c r="F20" s="28"/>
      <c r="H20" s="19" t="s">
        <v>52</v>
      </c>
      <c r="I20" s="2">
        <v>56</v>
      </c>
      <c r="J20" s="2">
        <v>23</v>
      </c>
      <c r="K20" s="2">
        <v>397</v>
      </c>
      <c r="L20" s="2">
        <v>345</v>
      </c>
      <c r="M20" s="2">
        <v>407</v>
      </c>
      <c r="N20" s="2">
        <v>327</v>
      </c>
      <c r="O20" s="2">
        <v>375</v>
      </c>
      <c r="P20" s="2">
        <v>231</v>
      </c>
      <c r="Q20" s="2">
        <v>350</v>
      </c>
      <c r="R20" s="2">
        <v>291</v>
      </c>
      <c r="S20" s="2">
        <v>217</v>
      </c>
      <c r="T20" s="2">
        <v>171</v>
      </c>
      <c r="U20" s="2">
        <v>126</v>
      </c>
      <c r="V20" s="2">
        <v>120</v>
      </c>
      <c r="W20" s="2">
        <v>1928</v>
      </c>
      <c r="X20" s="2">
        <v>1508</v>
      </c>
      <c r="Y20" s="2"/>
      <c r="AP20" s="26">
        <f t="shared" si="8"/>
        <v>0</v>
      </c>
      <c r="AQ20" s="52"/>
      <c r="AR20" s="26"/>
      <c r="AT20" s="19" t="s">
        <v>52</v>
      </c>
      <c r="AU20" s="2">
        <v>56</v>
      </c>
      <c r="AV20" s="2">
        <v>23</v>
      </c>
      <c r="AW20" s="2">
        <v>397</v>
      </c>
      <c r="AX20" s="2">
        <v>345</v>
      </c>
      <c r="AY20" s="2">
        <v>407</v>
      </c>
      <c r="AZ20" s="2">
        <v>327</v>
      </c>
      <c r="BA20" s="2">
        <v>375</v>
      </c>
      <c r="BB20" s="2">
        <v>231</v>
      </c>
      <c r="BC20" s="2">
        <v>350</v>
      </c>
      <c r="BD20" s="2">
        <v>291</v>
      </c>
      <c r="BE20" s="2">
        <v>217</v>
      </c>
      <c r="BF20" s="2">
        <v>171</v>
      </c>
      <c r="BG20" s="2">
        <v>126</v>
      </c>
      <c r="BH20" s="2">
        <v>120</v>
      </c>
      <c r="BI20" s="2">
        <v>1928</v>
      </c>
      <c r="BJ20" s="2">
        <v>1508</v>
      </c>
      <c r="BK20" s="2"/>
    </row>
    <row r="21" spans="1:73" x14ac:dyDescent="0.25">
      <c r="H21" s="19" t="s">
        <v>40</v>
      </c>
      <c r="I21" s="2">
        <v>728</v>
      </c>
      <c r="J21" s="2">
        <v>349</v>
      </c>
      <c r="K21" s="2">
        <v>5229</v>
      </c>
      <c r="L21" s="2">
        <v>4616</v>
      </c>
      <c r="M21" s="2">
        <v>5284</v>
      </c>
      <c r="N21" s="2">
        <v>4466</v>
      </c>
      <c r="O21" s="2">
        <v>4982</v>
      </c>
      <c r="P21" s="2">
        <v>3403</v>
      </c>
      <c r="Q21" s="2">
        <v>4550</v>
      </c>
      <c r="R21" s="2">
        <v>3890</v>
      </c>
      <c r="S21" s="2">
        <v>2824</v>
      </c>
      <c r="T21" s="2">
        <v>2135</v>
      </c>
      <c r="U21" s="2">
        <v>1627</v>
      </c>
      <c r="V21" s="2">
        <v>1447</v>
      </c>
      <c r="W21" s="2">
        <v>25224</v>
      </c>
      <c r="X21" s="2">
        <v>20306</v>
      </c>
      <c r="Y21" s="2"/>
      <c r="AT21" s="19" t="s">
        <v>40</v>
      </c>
      <c r="AU21" s="2">
        <v>728</v>
      </c>
      <c r="AV21" s="2">
        <v>349</v>
      </c>
      <c r="AW21" s="2">
        <v>5229</v>
      </c>
      <c r="AX21" s="2">
        <v>4616</v>
      </c>
      <c r="AY21" s="2">
        <v>5284</v>
      </c>
      <c r="AZ21" s="2">
        <v>4466</v>
      </c>
      <c r="BA21" s="2">
        <v>4982</v>
      </c>
      <c r="BB21" s="2">
        <v>3403</v>
      </c>
      <c r="BC21" s="2">
        <v>4550</v>
      </c>
      <c r="BD21" s="2">
        <v>3890</v>
      </c>
      <c r="BE21" s="2">
        <v>2824</v>
      </c>
      <c r="BF21" s="2">
        <v>2135</v>
      </c>
      <c r="BG21" s="2">
        <v>1627</v>
      </c>
      <c r="BH21" s="2">
        <v>1447</v>
      </c>
      <c r="BI21" s="2">
        <v>25224</v>
      </c>
      <c r="BJ21" s="2">
        <v>20306</v>
      </c>
      <c r="BK21" s="2"/>
    </row>
  </sheetData>
  <mergeCells count="3">
    <mergeCell ref="AT1:BO1"/>
    <mergeCell ref="H1:AH1"/>
    <mergeCell ref="AM1:AP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21"/>
  <sheetViews>
    <sheetView topLeftCell="A13" workbookViewId="0">
      <selection activeCell="E13" sqref="E13"/>
    </sheetView>
  </sheetViews>
  <sheetFormatPr defaultRowHeight="15" x14ac:dyDescent="0.25"/>
  <cols>
    <col min="2" max="2" width="13.140625" bestFit="1" customWidth="1"/>
    <col min="3" max="3" width="23.85546875" bestFit="1" customWidth="1"/>
    <col min="4" max="4" width="22.28515625" bestFit="1" customWidth="1"/>
    <col min="8" max="8" width="13.140625" bestFit="1" customWidth="1"/>
    <col min="9" max="9" width="23.85546875" bestFit="1" customWidth="1"/>
    <col min="10" max="10" width="22.28515625" bestFit="1" customWidth="1"/>
    <col min="11" max="11" width="23.85546875" customWidth="1"/>
    <col min="12" max="12" width="22.28515625" bestFit="1" customWidth="1"/>
    <col min="13" max="13" width="23.85546875" bestFit="1" customWidth="1"/>
    <col min="14" max="14" width="22.28515625" bestFit="1" customWidth="1"/>
    <col min="15" max="15" width="23.85546875" bestFit="1" customWidth="1"/>
    <col min="16" max="16" width="22.28515625" bestFit="1" customWidth="1"/>
    <col min="17" max="17" width="23.85546875" bestFit="1" customWidth="1"/>
    <col min="18" max="18" width="22.28515625" bestFit="1" customWidth="1"/>
    <col min="19" max="19" width="23.85546875" customWidth="1"/>
    <col min="20" max="20" width="22.28515625" customWidth="1"/>
    <col min="21" max="21" width="23.85546875" customWidth="1"/>
    <col min="22" max="22" width="22.28515625" customWidth="1"/>
    <col min="23" max="23" width="28.85546875" customWidth="1"/>
    <col min="24" max="25" width="27.28515625" customWidth="1"/>
    <col min="39" max="39" width="13.140625" bestFit="1" customWidth="1"/>
    <col min="40" max="40" width="23.85546875" bestFit="1" customWidth="1"/>
    <col min="41" max="41" width="22.28515625" bestFit="1" customWidth="1"/>
    <col min="45" max="45" width="13.140625" bestFit="1" customWidth="1"/>
    <col min="46" max="46" width="23.85546875" bestFit="1" customWidth="1"/>
    <col min="47" max="47" width="22.28515625" bestFit="1" customWidth="1"/>
    <col min="48" max="48" width="23.85546875" customWidth="1"/>
    <col min="49" max="49" width="22.28515625" bestFit="1" customWidth="1"/>
    <col min="50" max="50" width="23.85546875" bestFit="1" customWidth="1"/>
    <col min="51" max="51" width="22.28515625" bestFit="1" customWidth="1"/>
    <col min="52" max="52" width="23.85546875" bestFit="1" customWidth="1"/>
    <col min="53" max="53" width="22.28515625" bestFit="1" customWidth="1"/>
    <col min="54" max="54" width="23.85546875" bestFit="1" customWidth="1"/>
    <col min="55" max="55" width="22.28515625" bestFit="1" customWidth="1"/>
    <col min="56" max="56" width="23.85546875" customWidth="1"/>
    <col min="57" max="57" width="22.28515625" customWidth="1"/>
    <col min="58" max="58" width="23.85546875" customWidth="1"/>
    <col min="59" max="59" width="22.28515625" customWidth="1"/>
    <col min="60" max="60" width="28.85546875" customWidth="1"/>
    <col min="61" max="62" width="27.28515625" customWidth="1"/>
  </cols>
  <sheetData>
    <row r="1" spans="1:72" s="17" customFormat="1" x14ac:dyDescent="0.25">
      <c r="A1" s="38"/>
      <c r="B1" s="44" t="s">
        <v>320</v>
      </c>
      <c r="C1" s="47"/>
      <c r="D1" s="47"/>
      <c r="E1" s="47"/>
      <c r="G1" s="38"/>
      <c r="H1" s="152" t="s">
        <v>322</v>
      </c>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23"/>
      <c r="AJ1" s="123"/>
      <c r="AK1" s="38"/>
      <c r="AL1" s="38"/>
      <c r="AM1" s="57" t="s">
        <v>304</v>
      </c>
      <c r="AN1" s="47"/>
      <c r="AO1" s="47"/>
      <c r="AP1" s="47"/>
      <c r="AQ1" s="38"/>
      <c r="AS1" s="151" t="s">
        <v>306</v>
      </c>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row>
    <row r="3" spans="1:72" x14ac:dyDescent="0.25">
      <c r="B3" s="18" t="s">
        <v>41</v>
      </c>
      <c r="C3" t="s" vm="1">
        <v>287</v>
      </c>
      <c r="H3" s="18" t="s">
        <v>41</v>
      </c>
      <c r="I3" t="s" vm="1">
        <v>287</v>
      </c>
      <c r="AM3" s="18" t="s">
        <v>41</v>
      </c>
      <c r="AN3" t="s" vm="1">
        <v>287</v>
      </c>
      <c r="AS3" s="18" t="s">
        <v>41</v>
      </c>
      <c r="AT3" t="s" vm="1">
        <v>287</v>
      </c>
    </row>
    <row r="5" spans="1:72" x14ac:dyDescent="0.25">
      <c r="B5" s="18" t="s">
        <v>38</v>
      </c>
      <c r="C5" t="s">
        <v>203</v>
      </c>
      <c r="D5" t="s">
        <v>204</v>
      </c>
      <c r="I5" s="18" t="s">
        <v>43</v>
      </c>
      <c r="AB5" t="s">
        <v>42</v>
      </c>
      <c r="AC5" t="s">
        <v>1</v>
      </c>
      <c r="AD5" t="s">
        <v>241</v>
      </c>
      <c r="AE5" t="s">
        <v>282</v>
      </c>
      <c r="AF5" t="s">
        <v>238</v>
      </c>
      <c r="AG5" t="s">
        <v>239</v>
      </c>
      <c r="AH5" t="s">
        <v>285</v>
      </c>
      <c r="AI5" t="s">
        <v>284</v>
      </c>
      <c r="AM5" s="18" t="s">
        <v>38</v>
      </c>
      <c r="AN5" t="s">
        <v>203</v>
      </c>
      <c r="AO5" t="s">
        <v>204</v>
      </c>
      <c r="AT5" s="18" t="s">
        <v>43</v>
      </c>
      <c r="BM5" t="s">
        <v>42</v>
      </c>
      <c r="BN5" t="s">
        <v>1</v>
      </c>
      <c r="BO5" t="s">
        <v>241</v>
      </c>
      <c r="BP5" t="s">
        <v>282</v>
      </c>
      <c r="BQ5" t="s">
        <v>238</v>
      </c>
      <c r="BR5" t="s">
        <v>239</v>
      </c>
      <c r="BS5" t="s">
        <v>285</v>
      </c>
      <c r="BT5" t="s">
        <v>284</v>
      </c>
    </row>
    <row r="6" spans="1:72" x14ac:dyDescent="0.25">
      <c r="A6" s="3"/>
      <c r="B6" s="19" t="s">
        <v>39</v>
      </c>
      <c r="C6" s="2">
        <v>10420</v>
      </c>
      <c r="D6" s="2">
        <v>7623</v>
      </c>
      <c r="E6" s="3">
        <f>D6/C6</f>
        <v>0.73157389635316694</v>
      </c>
      <c r="G6" s="28"/>
      <c r="I6" t="s">
        <v>329</v>
      </c>
      <c r="K6" t="s">
        <v>1</v>
      </c>
      <c r="M6" t="s">
        <v>241</v>
      </c>
      <c r="O6" t="s">
        <v>286</v>
      </c>
      <c r="Q6" t="s">
        <v>330</v>
      </c>
      <c r="S6" t="s">
        <v>237</v>
      </c>
      <c r="U6" t="s">
        <v>331</v>
      </c>
      <c r="W6" t="s">
        <v>205</v>
      </c>
      <c r="X6" t="s">
        <v>206</v>
      </c>
      <c r="Z6" s="28"/>
      <c r="AA6" s="49" t="s">
        <v>44</v>
      </c>
      <c r="AB6" s="28">
        <f>VLOOKUP($AA6,$H$8:$X$1048576,17,FALSE)/VLOOKUP($AA6,$H$8:$X$1048576,16,FALSE)</f>
        <v>0.73157389635316694</v>
      </c>
      <c r="AC6" s="28">
        <f>VLOOKUP($AA6,$H$8:$X$1048576,5,FALSE)/VLOOKUP($AA6,$H$8:$X$1048576,4,FALSE)</f>
        <v>0.84003458711629919</v>
      </c>
      <c r="AD6" s="28">
        <f>VLOOKUP($AA6,$H$8:$X$1048576, 7,FALSE)/VLOOKUP($AA6,$H$8:$X$1048576,6,FALSE)</f>
        <v>0.76014957264957261</v>
      </c>
      <c r="AE6" s="28">
        <f>VLOOKUP($AA6,$H$8:$X$1048576,9,FALSE)/VLOOKUP($AA6,$H$8:$X$1048576,8,FALSE)</f>
        <v>0.72931167826759469</v>
      </c>
      <c r="AF6" s="28">
        <f>VLOOKUP($AA6,$H$8:$X$1048576,13,FALSE)/VLOOKUP($AA6,$H$8:$X$1048576,12,FALSE)</f>
        <v>0.700488334237656</v>
      </c>
      <c r="AG6" s="28">
        <f>VLOOKUP($AA6,$H$8:$X$1048576,15,FALSE)/VLOOKUP($AA6,$H$8:$X$1048576,14,FALSE)</f>
        <v>0.80910852713178294</v>
      </c>
      <c r="AH6" s="28">
        <f>VLOOKUP($AA6,$H$8:$X$1048576,3,FALSE)/VLOOKUP($AA6,$H$8:$X$1048576,2,FALSE)</f>
        <v>0.56517935258092733</v>
      </c>
      <c r="AI6" s="28">
        <f>VLOOKUP($AA6,$H$8:$X$1048576,11,FALSE)/VLOOKUP($AA6,$H$8:$X$1048576,10,FALSE)</f>
        <v>0.58658008658008653</v>
      </c>
      <c r="AJ6" s="28"/>
      <c r="AK6" s="28"/>
      <c r="AL6" s="20"/>
      <c r="AM6" s="19" t="s">
        <v>39</v>
      </c>
      <c r="AN6" s="2">
        <v>10420</v>
      </c>
      <c r="AO6" s="2">
        <v>7623</v>
      </c>
      <c r="AP6" s="20">
        <f>(AN6-AO6)/4</f>
        <v>699.25</v>
      </c>
      <c r="AQ6" s="20"/>
      <c r="AT6" t="s">
        <v>329</v>
      </c>
      <c r="AV6" t="s">
        <v>1</v>
      </c>
      <c r="AX6" t="s">
        <v>241</v>
      </c>
      <c r="AZ6" t="s">
        <v>286</v>
      </c>
      <c r="BB6" t="s">
        <v>330</v>
      </c>
      <c r="BD6" t="s">
        <v>237</v>
      </c>
      <c r="BF6" t="s">
        <v>331</v>
      </c>
      <c r="BH6" t="s">
        <v>205</v>
      </c>
      <c r="BI6" t="s">
        <v>206</v>
      </c>
      <c r="BL6" s="49" t="s">
        <v>44</v>
      </c>
      <c r="BM6" s="25">
        <f>(VLOOKUP($BL6,$AS$8:$BI$1048576,16,FALSE)-VLOOKUP($BL6,$AS$8:$BI$1048576,17,FALSE))/7</f>
        <v>399.57142857142856</v>
      </c>
      <c r="BN6" s="25">
        <f>(VLOOKUP($BL6,$AS$8:$BI$1048576,4,FALSE)-VLOOKUP($BL6,$AS$8:$BI$1048576,5,FALSE))/7</f>
        <v>52.857142857142854</v>
      </c>
      <c r="BO6" s="25">
        <f>(VLOOKUP($BL6,$AS$8:$BI$1048576,6,FALSE)-VLOOKUP($BL6,$AS$8:$BI$1048576,7,FALSE))/7</f>
        <v>64.142857142857139</v>
      </c>
      <c r="BP6" s="25">
        <f>(VLOOKUP($BL6,$AS$8:$BI$1048576,8,FALSE)-VLOOKUP($BL6,$AS$8:$BI$1048576,9,FALSE))/7</f>
        <v>50</v>
      </c>
      <c r="BQ6" s="25">
        <f>(VLOOKUP($BL6,$AS$8:$BI$1048576,12,FALSE)-VLOOKUP($BL6,$AS$8:$BI$1048576,13,FALSE))/7</f>
        <v>78.857142857142861</v>
      </c>
      <c r="BR6" s="25">
        <f>(VLOOKUP($BL6,$AS$8:$BI$1048576,14,FALSE)-VLOOKUP($BL6,$AS$8:$BI$1048576,15,FALSE))/7</f>
        <v>28.142857142857142</v>
      </c>
      <c r="BS6" s="25">
        <f>(VLOOKUP($BL6,$AS$8:$BI$1048576,2,FALSE)-VLOOKUP($BL6,$AS$8:$BI$1048576,3,FALSE))/7</f>
        <v>71</v>
      </c>
      <c r="BT6" s="25">
        <f t="shared" ref="BT6:BT18" si="0">(VLOOKUP($BL6,$AS$8:$BI$1048576,10,FALSE)-VLOOKUP($BL6,$AS$8:$BI$1048576,11,FALSE))/7</f>
        <v>54.571428571428569</v>
      </c>
    </row>
    <row r="7" spans="1:72" x14ac:dyDescent="0.25">
      <c r="A7" s="3"/>
      <c r="B7" s="19" t="s">
        <v>332</v>
      </c>
      <c r="C7" s="2">
        <v>10414</v>
      </c>
      <c r="D7" s="2">
        <v>7751</v>
      </c>
      <c r="E7" s="3">
        <f>D7/C7</f>
        <v>0.74428653735356254</v>
      </c>
      <c r="G7" s="28"/>
      <c r="H7" s="18" t="s">
        <v>38</v>
      </c>
      <c r="I7" t="s">
        <v>203</v>
      </c>
      <c r="J7" t="s">
        <v>204</v>
      </c>
      <c r="K7" t="s">
        <v>203</v>
      </c>
      <c r="L7" t="s">
        <v>204</v>
      </c>
      <c r="M7" t="s">
        <v>203</v>
      </c>
      <c r="N7" t="s">
        <v>204</v>
      </c>
      <c r="O7" t="s">
        <v>203</v>
      </c>
      <c r="P7" t="s">
        <v>204</v>
      </c>
      <c r="Q7" t="s">
        <v>203</v>
      </c>
      <c r="R7" t="s">
        <v>204</v>
      </c>
      <c r="S7" t="s">
        <v>203</v>
      </c>
      <c r="T7" t="s">
        <v>204</v>
      </c>
      <c r="U7" t="s">
        <v>203</v>
      </c>
      <c r="V7" t="s">
        <v>204</v>
      </c>
      <c r="Z7" s="28"/>
      <c r="AA7" s="49" t="s">
        <v>45</v>
      </c>
      <c r="AB7" s="28">
        <f t="shared" ref="AB7:AB18" si="1">VLOOKUP($AA7,$H$8:$X$1048576,17,FALSE)/VLOOKUP($AA7,$H$8:$X$1048576,16,FALSE)</f>
        <v>0.74428653735356254</v>
      </c>
      <c r="AC7" s="28">
        <f t="shared" ref="AC7:AC18" si="2">VLOOKUP($AA7,$H$8:$X$1048576,5,FALSE)/VLOOKUP($AA7,$H$8:$X$1048576,4,FALSE)</f>
        <v>0.86481876332622598</v>
      </c>
      <c r="AD7" s="28">
        <f t="shared" ref="AD7:AD18" si="3">VLOOKUP($AA7,$H$8:$X$1048576, 7,FALSE)/VLOOKUP($AA7,$H$8:$X$1048576,6,FALSE)</f>
        <v>0.78548559231590176</v>
      </c>
      <c r="AE7" s="28">
        <f t="shared" ref="AE7:AE18" si="4">VLOOKUP($AA7,$H$8:$X$1048576,9,FALSE)/VLOOKUP($AA7,$H$8:$X$1048576,8,FALSE)</f>
        <v>0.70482866043613712</v>
      </c>
      <c r="AF7" s="28">
        <f t="shared" ref="AF7:AF18" si="5">VLOOKUP($AA7,$H$8:$X$1048576,13,FALSE)/VLOOKUP($AA7,$H$8:$X$1048576,12,FALSE)</f>
        <v>0.6596916299559471</v>
      </c>
      <c r="AG7" s="28">
        <f t="shared" ref="AG7:AG18" si="6">VLOOKUP($AA7,$H$8:$X$1048576,15,FALSE)/VLOOKUP($AA7,$H$8:$X$1048576,14,FALSE)</f>
        <v>0.79569892473118276</v>
      </c>
      <c r="AH7" s="28">
        <f t="shared" ref="AH7:AH18" si="7">VLOOKUP($AA7,$H$8:$X$1048576,3,FALSE)/VLOOKUP($AA7,$H$8:$X$1048576,2,FALSE)</f>
        <v>0.61808604038630377</v>
      </c>
      <c r="AI7" s="28">
        <f t="shared" ref="AI7:AI18" si="8">VLOOKUP($AA7,$H$8:$X$1048576,11,FALSE)/VLOOKUP($AA7,$H$8:$X$1048576,10,FALSE)</f>
        <v>0.67524115755627012</v>
      </c>
      <c r="AJ7" s="28"/>
      <c r="AK7" s="28"/>
      <c r="AL7" s="20"/>
      <c r="AM7" s="19" t="s">
        <v>332</v>
      </c>
      <c r="AN7" s="2">
        <v>10414</v>
      </c>
      <c r="AO7" s="2">
        <v>7751</v>
      </c>
      <c r="AP7" s="20">
        <f>(AN7-AO7)/7</f>
        <v>380.42857142857144</v>
      </c>
      <c r="AQ7" s="20"/>
      <c r="AS7" s="18" t="s">
        <v>38</v>
      </c>
      <c r="AT7" t="s">
        <v>203</v>
      </c>
      <c r="AU7" t="s">
        <v>204</v>
      </c>
      <c r="AV7" t="s">
        <v>203</v>
      </c>
      <c r="AW7" t="s">
        <v>204</v>
      </c>
      <c r="AX7" t="s">
        <v>203</v>
      </c>
      <c r="AY7" t="s">
        <v>204</v>
      </c>
      <c r="AZ7" t="s">
        <v>203</v>
      </c>
      <c r="BA7" t="s">
        <v>204</v>
      </c>
      <c r="BB7" t="s">
        <v>203</v>
      </c>
      <c r="BC7" t="s">
        <v>204</v>
      </c>
      <c r="BD7" t="s">
        <v>203</v>
      </c>
      <c r="BE7" t="s">
        <v>204</v>
      </c>
      <c r="BF7" t="s">
        <v>203</v>
      </c>
      <c r="BG7" t="s">
        <v>204</v>
      </c>
      <c r="BL7" s="49" t="s">
        <v>45</v>
      </c>
      <c r="BM7" s="25">
        <f t="shared" ref="BM7:BM18" si="9">(VLOOKUP($BL7,$AS$8:$BI$1048576,16,FALSE)-VLOOKUP($BL7,$AS$8:$BI$1048576,17,FALSE))/7</f>
        <v>380.42857142857144</v>
      </c>
      <c r="BN7" s="25">
        <f t="shared" ref="BN7:BN18" si="10">(VLOOKUP($BL7,$AS$8:$BI$1048576,4,FALSE)-VLOOKUP($BL7,$AS$8:$BI$1048576,5,FALSE))/7</f>
        <v>45.285714285714285</v>
      </c>
      <c r="BO7" s="25">
        <f t="shared" ref="BO7:BO18" si="11">(VLOOKUP($BL7,$AS$8:$BI$1048576,6,FALSE)-VLOOKUP($BL7,$AS$8:$BI$1048576,7,FALSE))/7</f>
        <v>57.428571428571431</v>
      </c>
      <c r="BP7" s="25">
        <f t="shared" ref="BP7:BP18" si="12">(VLOOKUP($BL7,$AS$8:$BI$1048576,8,FALSE)-VLOOKUP($BL7,$AS$8:$BI$1048576,9,FALSE))/7</f>
        <v>54.142857142857146</v>
      </c>
      <c r="BQ7" s="25">
        <f t="shared" ref="BQ7:BQ18" si="13">(VLOOKUP($BL7,$AS$8:$BI$1048576,12,FALSE)-VLOOKUP($BL7,$AS$8:$BI$1048576,13,FALSE))/7</f>
        <v>88.285714285714292</v>
      </c>
      <c r="BR7" s="25">
        <f t="shared" ref="BR7:BR18" si="14">(VLOOKUP($BL7,$AS$8:$BI$1048576,14,FALSE)-VLOOKUP($BL7,$AS$8:$BI$1048576,15,FALSE))/7</f>
        <v>29.857142857142858</v>
      </c>
      <c r="BS7" s="25">
        <f t="shared" ref="BS7:BS18" si="15">(VLOOKUP($BL7,$AS$8:$BI$1048576,2,FALSE)-VLOOKUP($BL7,$AS$8:$BI$1048576,3,FALSE))/7</f>
        <v>62.142857142857146</v>
      </c>
      <c r="BT7" s="25">
        <f t="shared" si="0"/>
        <v>43.285714285714285</v>
      </c>
    </row>
    <row r="8" spans="1:72" x14ac:dyDescent="0.25">
      <c r="A8" s="3"/>
      <c r="B8" s="19" t="s">
        <v>341</v>
      </c>
      <c r="C8" s="2">
        <v>10451</v>
      </c>
      <c r="D8" s="2">
        <v>7811</v>
      </c>
      <c r="E8" s="3">
        <f t="shared" ref="E8:E20" si="16">D8/C8</f>
        <v>0.74739259401014257</v>
      </c>
      <c r="G8" s="28"/>
      <c r="H8" s="19" t="s">
        <v>44</v>
      </c>
      <c r="I8" s="2">
        <v>1143</v>
      </c>
      <c r="J8" s="2">
        <v>646</v>
      </c>
      <c r="K8" s="2">
        <v>2313</v>
      </c>
      <c r="L8" s="2">
        <v>1943</v>
      </c>
      <c r="M8" s="2">
        <v>1872</v>
      </c>
      <c r="N8" s="2">
        <v>1423</v>
      </c>
      <c r="O8" s="2">
        <v>1293</v>
      </c>
      <c r="P8" s="2">
        <v>943</v>
      </c>
      <c r="Q8" s="2">
        <v>924</v>
      </c>
      <c r="R8" s="2">
        <v>542</v>
      </c>
      <c r="S8" s="2">
        <v>1843</v>
      </c>
      <c r="T8" s="2">
        <v>1291</v>
      </c>
      <c r="U8" s="2">
        <v>1032</v>
      </c>
      <c r="V8" s="2">
        <v>835</v>
      </c>
      <c r="W8" s="2">
        <v>10420</v>
      </c>
      <c r="X8" s="2">
        <v>7623</v>
      </c>
      <c r="Y8" s="2"/>
      <c r="Z8" s="28"/>
      <c r="AA8" s="49" t="s">
        <v>46</v>
      </c>
      <c r="AB8" s="28">
        <f t="shared" si="1"/>
        <v>0.74739259401014257</v>
      </c>
      <c r="AC8" s="28">
        <f t="shared" si="2"/>
        <v>0.8714773697694278</v>
      </c>
      <c r="AD8" s="28">
        <f t="shared" si="3"/>
        <v>0.7664702731655062</v>
      </c>
      <c r="AE8" s="28">
        <f t="shared" si="4"/>
        <v>0.70583596214511046</v>
      </c>
      <c r="AF8" s="28">
        <f t="shared" si="5"/>
        <v>0.6875</v>
      </c>
      <c r="AG8" s="28">
        <f t="shared" si="6"/>
        <v>0.73483365949119372</v>
      </c>
      <c r="AH8" s="28">
        <f t="shared" si="7"/>
        <v>0.64721254355400692</v>
      </c>
      <c r="AI8" s="28">
        <f t="shared" si="8"/>
        <v>0.71097046413502107</v>
      </c>
      <c r="AJ8" s="28"/>
      <c r="AK8" s="28"/>
      <c r="AL8" s="20"/>
      <c r="AM8" s="19" t="s">
        <v>341</v>
      </c>
      <c r="AN8" s="2">
        <v>10451</v>
      </c>
      <c r="AO8" s="2">
        <v>7811</v>
      </c>
      <c r="AP8" s="20">
        <f t="shared" ref="AP8:AP20" si="17">(AN8-AO8)/7</f>
        <v>377.14285714285717</v>
      </c>
      <c r="AQ8" s="20"/>
      <c r="AS8" s="19" t="s">
        <v>44</v>
      </c>
      <c r="AT8" s="2">
        <v>1143</v>
      </c>
      <c r="AU8" s="2">
        <v>646</v>
      </c>
      <c r="AV8" s="2">
        <v>2313</v>
      </c>
      <c r="AW8" s="2">
        <v>1943</v>
      </c>
      <c r="AX8" s="2">
        <v>1872</v>
      </c>
      <c r="AY8" s="2">
        <v>1423</v>
      </c>
      <c r="AZ8" s="2">
        <v>1293</v>
      </c>
      <c r="BA8" s="2">
        <v>943</v>
      </c>
      <c r="BB8" s="2">
        <v>924</v>
      </c>
      <c r="BC8" s="2">
        <v>542</v>
      </c>
      <c r="BD8" s="2">
        <v>1843</v>
      </c>
      <c r="BE8" s="2">
        <v>1291</v>
      </c>
      <c r="BF8" s="2">
        <v>1032</v>
      </c>
      <c r="BG8" s="2">
        <v>835</v>
      </c>
      <c r="BH8" s="2">
        <v>10420</v>
      </c>
      <c r="BI8" s="2">
        <v>7623</v>
      </c>
      <c r="BJ8" s="2"/>
      <c r="BL8" s="49" t="s">
        <v>46</v>
      </c>
      <c r="BM8" s="25">
        <f t="shared" si="9"/>
        <v>377.14285714285717</v>
      </c>
      <c r="BN8" s="25">
        <f t="shared" si="10"/>
        <v>43</v>
      </c>
      <c r="BO8" s="25">
        <f t="shared" si="11"/>
        <v>62.285714285714285</v>
      </c>
      <c r="BP8" s="25">
        <f t="shared" si="12"/>
        <v>53.285714285714285</v>
      </c>
      <c r="BQ8" s="25">
        <f t="shared" si="13"/>
        <v>82.857142857142861</v>
      </c>
      <c r="BR8" s="25">
        <f t="shared" si="14"/>
        <v>38.714285714285715</v>
      </c>
      <c r="BS8" s="25">
        <f t="shared" si="15"/>
        <v>57.857142857142854</v>
      </c>
      <c r="BT8" s="25">
        <f t="shared" si="0"/>
        <v>39.142857142857146</v>
      </c>
    </row>
    <row r="9" spans="1:72" x14ac:dyDescent="0.25">
      <c r="A9" s="3"/>
      <c r="B9" s="19" t="s">
        <v>350</v>
      </c>
      <c r="C9" s="2">
        <v>10374</v>
      </c>
      <c r="D9" s="2">
        <v>7380</v>
      </c>
      <c r="E9" s="3">
        <f>D9/C9</f>
        <v>0.71139386928860615</v>
      </c>
      <c r="G9" s="28"/>
      <c r="H9" s="19" t="s">
        <v>53</v>
      </c>
      <c r="I9" s="2">
        <v>1124</v>
      </c>
      <c r="J9" s="2">
        <v>638</v>
      </c>
      <c r="K9" s="2">
        <v>2356</v>
      </c>
      <c r="L9" s="2">
        <v>1949</v>
      </c>
      <c r="M9" s="2">
        <v>1866</v>
      </c>
      <c r="N9" s="2">
        <v>1300</v>
      </c>
      <c r="O9" s="2">
        <v>1257</v>
      </c>
      <c r="P9" s="2">
        <v>922</v>
      </c>
      <c r="Q9" s="2">
        <v>928</v>
      </c>
      <c r="R9" s="2">
        <v>588</v>
      </c>
      <c r="S9" s="2">
        <v>1862</v>
      </c>
      <c r="T9" s="2">
        <v>1093</v>
      </c>
      <c r="U9" s="2">
        <v>1036</v>
      </c>
      <c r="V9" s="2">
        <v>726</v>
      </c>
      <c r="W9" s="2">
        <v>10429</v>
      </c>
      <c r="X9" s="2">
        <v>7216</v>
      </c>
      <c r="Y9" s="2"/>
      <c r="Z9" s="28"/>
      <c r="AA9" s="49" t="s">
        <v>47</v>
      </c>
      <c r="AB9" s="28">
        <f t="shared" si="1"/>
        <v>0.71139386928860615</v>
      </c>
      <c r="AC9" s="28">
        <f t="shared" si="2"/>
        <v>0.83525887890457851</v>
      </c>
      <c r="AD9" s="28">
        <f t="shared" si="3"/>
        <v>0.71436403508771928</v>
      </c>
      <c r="AE9" s="28">
        <f t="shared" si="4"/>
        <v>0.64171974522292996</v>
      </c>
      <c r="AF9" s="28">
        <f t="shared" si="5"/>
        <v>0.66307277628032346</v>
      </c>
      <c r="AG9" s="28">
        <f t="shared" si="6"/>
        <v>0.74070450097847362</v>
      </c>
      <c r="AH9" s="28">
        <f t="shared" si="7"/>
        <v>0.60556038227628151</v>
      </c>
      <c r="AI9" s="28">
        <f t="shared" si="8"/>
        <v>0.68353067814854684</v>
      </c>
      <c r="AJ9" s="28"/>
      <c r="AK9" s="28"/>
      <c r="AL9" s="20"/>
      <c r="AM9" s="19" t="s">
        <v>350</v>
      </c>
      <c r="AN9" s="2">
        <v>10374</v>
      </c>
      <c r="AO9" s="2">
        <v>7380</v>
      </c>
      <c r="AP9" s="20">
        <f t="shared" si="17"/>
        <v>427.71428571428572</v>
      </c>
      <c r="AQ9" s="20"/>
      <c r="AS9" s="19" t="s">
        <v>53</v>
      </c>
      <c r="AT9" s="2">
        <v>1124</v>
      </c>
      <c r="AU9" s="2">
        <v>638</v>
      </c>
      <c r="AV9" s="2">
        <v>2356</v>
      </c>
      <c r="AW9" s="2">
        <v>1949</v>
      </c>
      <c r="AX9" s="2">
        <v>1866</v>
      </c>
      <c r="AY9" s="2">
        <v>1300</v>
      </c>
      <c r="AZ9" s="2">
        <v>1257</v>
      </c>
      <c r="BA9" s="2">
        <v>922</v>
      </c>
      <c r="BB9" s="2">
        <v>928</v>
      </c>
      <c r="BC9" s="2">
        <v>588</v>
      </c>
      <c r="BD9" s="2">
        <v>1862</v>
      </c>
      <c r="BE9" s="2">
        <v>1093</v>
      </c>
      <c r="BF9" s="2">
        <v>1036</v>
      </c>
      <c r="BG9" s="2">
        <v>726</v>
      </c>
      <c r="BH9" s="2">
        <v>10429</v>
      </c>
      <c r="BI9" s="2">
        <v>7216</v>
      </c>
      <c r="BJ9" s="2"/>
      <c r="BL9" s="49" t="s">
        <v>47</v>
      </c>
      <c r="BM9" s="25">
        <f t="shared" si="9"/>
        <v>427.71428571428572</v>
      </c>
      <c r="BN9" s="25">
        <f t="shared" si="10"/>
        <v>55</v>
      </c>
      <c r="BO9" s="25">
        <f t="shared" si="11"/>
        <v>74.428571428571431</v>
      </c>
      <c r="BP9" s="25">
        <f t="shared" si="12"/>
        <v>64.285714285714292</v>
      </c>
      <c r="BQ9" s="25">
        <f t="shared" si="13"/>
        <v>89.285714285714292</v>
      </c>
      <c r="BR9" s="25">
        <f t="shared" si="14"/>
        <v>37.857142857142854</v>
      </c>
      <c r="BS9" s="25">
        <f t="shared" si="15"/>
        <v>64.857142857142861</v>
      </c>
      <c r="BT9" s="25">
        <f t="shared" si="0"/>
        <v>42</v>
      </c>
    </row>
    <row r="10" spans="1:72" x14ac:dyDescent="0.25">
      <c r="A10" s="3"/>
      <c r="B10" s="19" t="s">
        <v>359</v>
      </c>
      <c r="C10" s="2">
        <v>10359</v>
      </c>
      <c r="D10" s="2">
        <v>7156</v>
      </c>
      <c r="E10" s="3">
        <f>D10/C10</f>
        <v>0.69080027029636071</v>
      </c>
      <c r="G10" s="28"/>
      <c r="H10" s="19" t="s">
        <v>54</v>
      </c>
      <c r="I10" s="2">
        <v>1142</v>
      </c>
      <c r="J10" s="2">
        <v>631</v>
      </c>
      <c r="K10" s="2">
        <v>2358</v>
      </c>
      <c r="L10" s="2">
        <v>1956</v>
      </c>
      <c r="M10" s="2">
        <v>1838</v>
      </c>
      <c r="N10" s="2">
        <v>1318</v>
      </c>
      <c r="O10" s="2">
        <v>1267</v>
      </c>
      <c r="P10" s="2">
        <v>888</v>
      </c>
      <c r="Q10" s="2">
        <v>924</v>
      </c>
      <c r="R10" s="2">
        <v>617</v>
      </c>
      <c r="S10" s="2">
        <v>1852</v>
      </c>
      <c r="T10" s="2">
        <v>1163</v>
      </c>
      <c r="U10" s="2">
        <v>1036</v>
      </c>
      <c r="V10" s="2">
        <v>742</v>
      </c>
      <c r="W10" s="2">
        <v>10417</v>
      </c>
      <c r="X10" s="2">
        <v>7315</v>
      </c>
      <c r="Y10" s="2"/>
      <c r="Z10" s="28"/>
      <c r="AA10" s="20" t="s">
        <v>48</v>
      </c>
      <c r="AB10" s="28">
        <f t="shared" si="1"/>
        <v>0.69080027029636071</v>
      </c>
      <c r="AC10" s="28">
        <f t="shared" si="2"/>
        <v>0.81612627986348119</v>
      </c>
      <c r="AD10" s="28">
        <f t="shared" si="3"/>
        <v>0.70721205597416581</v>
      </c>
      <c r="AE10" s="28">
        <f t="shared" si="4"/>
        <v>0.69685039370078738</v>
      </c>
      <c r="AF10" s="28">
        <f t="shared" si="5"/>
        <v>0.61174551386623166</v>
      </c>
      <c r="AG10" s="28">
        <f t="shared" si="6"/>
        <v>0.7083753784056509</v>
      </c>
      <c r="AH10" s="28">
        <f t="shared" si="7"/>
        <v>0.58098591549295775</v>
      </c>
      <c r="AI10" s="28">
        <f t="shared" si="8"/>
        <v>0.60477741585233447</v>
      </c>
      <c r="AJ10" s="28"/>
      <c r="AK10" s="28"/>
      <c r="AL10" s="20"/>
      <c r="AM10" s="19" t="s">
        <v>359</v>
      </c>
      <c r="AN10" s="2">
        <v>10359</v>
      </c>
      <c r="AO10" s="2">
        <v>7156</v>
      </c>
      <c r="AP10" s="20">
        <f t="shared" si="17"/>
        <v>457.57142857142856</v>
      </c>
      <c r="AQ10" s="20"/>
      <c r="AS10" s="19" t="s">
        <v>54</v>
      </c>
      <c r="AT10" s="2">
        <v>1142</v>
      </c>
      <c r="AU10" s="2">
        <v>631</v>
      </c>
      <c r="AV10" s="2">
        <v>2358</v>
      </c>
      <c r="AW10" s="2">
        <v>1956</v>
      </c>
      <c r="AX10" s="2">
        <v>1838</v>
      </c>
      <c r="AY10" s="2">
        <v>1318</v>
      </c>
      <c r="AZ10" s="2">
        <v>1267</v>
      </c>
      <c r="BA10" s="2">
        <v>888</v>
      </c>
      <c r="BB10" s="2">
        <v>924</v>
      </c>
      <c r="BC10" s="2">
        <v>617</v>
      </c>
      <c r="BD10" s="2">
        <v>1852</v>
      </c>
      <c r="BE10" s="2">
        <v>1163</v>
      </c>
      <c r="BF10" s="2">
        <v>1036</v>
      </c>
      <c r="BG10" s="2">
        <v>742</v>
      </c>
      <c r="BH10" s="2">
        <v>10417</v>
      </c>
      <c r="BI10" s="2">
        <v>7315</v>
      </c>
      <c r="BJ10" s="2"/>
      <c r="BL10" s="20" t="s">
        <v>48</v>
      </c>
      <c r="BM10" s="25">
        <f t="shared" si="9"/>
        <v>457.57142857142856</v>
      </c>
      <c r="BN10" s="25">
        <f t="shared" si="10"/>
        <v>61.571428571428569</v>
      </c>
      <c r="BO10" s="25">
        <f t="shared" si="11"/>
        <v>77.714285714285708</v>
      </c>
      <c r="BP10" s="25">
        <f t="shared" si="12"/>
        <v>55</v>
      </c>
      <c r="BQ10" s="25">
        <f t="shared" si="13"/>
        <v>102</v>
      </c>
      <c r="BR10" s="25">
        <f t="shared" si="14"/>
        <v>41.285714285714285</v>
      </c>
      <c r="BS10" s="25">
        <f t="shared" si="15"/>
        <v>68</v>
      </c>
      <c r="BT10" s="25">
        <f t="shared" si="0"/>
        <v>52</v>
      </c>
    </row>
    <row r="11" spans="1:72" x14ac:dyDescent="0.25">
      <c r="A11" s="3"/>
      <c r="B11" s="19" t="s">
        <v>368</v>
      </c>
      <c r="C11" s="2">
        <v>10384</v>
      </c>
      <c r="D11" s="2">
        <v>7308</v>
      </c>
      <c r="E11" s="3">
        <f>D11/C11</f>
        <v>0.70377503852080125</v>
      </c>
      <c r="G11" s="28"/>
      <c r="H11" s="19" t="s">
        <v>55</v>
      </c>
      <c r="I11" s="2">
        <v>1140</v>
      </c>
      <c r="J11" s="2">
        <v>674</v>
      </c>
      <c r="K11" s="2">
        <v>2340</v>
      </c>
      <c r="L11" s="2">
        <v>1858</v>
      </c>
      <c r="M11" s="2">
        <v>1857</v>
      </c>
      <c r="N11" s="2">
        <v>1293</v>
      </c>
      <c r="O11" s="2">
        <v>1270</v>
      </c>
      <c r="P11" s="2">
        <v>826</v>
      </c>
      <c r="Q11" s="2">
        <v>923</v>
      </c>
      <c r="R11" s="2">
        <v>616</v>
      </c>
      <c r="S11" s="2">
        <v>1865</v>
      </c>
      <c r="T11" s="2">
        <v>1238</v>
      </c>
      <c r="U11" s="2">
        <v>1036</v>
      </c>
      <c r="V11" s="2">
        <v>712</v>
      </c>
      <c r="W11" s="2">
        <v>10431</v>
      </c>
      <c r="X11" s="2">
        <v>7217</v>
      </c>
      <c r="Y11" s="2"/>
      <c r="Z11" s="28"/>
      <c r="AA11" s="20" t="s">
        <v>49</v>
      </c>
      <c r="AB11" s="28">
        <f t="shared" si="1"/>
        <v>0.70377503852080125</v>
      </c>
      <c r="AC11" s="28">
        <f t="shared" si="2"/>
        <v>0.79307396323215051</v>
      </c>
      <c r="AD11" s="28">
        <f t="shared" si="3"/>
        <v>0.75054585152838427</v>
      </c>
      <c r="AE11" s="28">
        <f t="shared" si="4"/>
        <v>0.72996108949416338</v>
      </c>
      <c r="AF11" s="28">
        <f t="shared" si="5"/>
        <v>0.62878787878787878</v>
      </c>
      <c r="AG11" s="28">
        <f t="shared" si="6"/>
        <v>0.69765166340508811</v>
      </c>
      <c r="AH11" s="28">
        <f t="shared" si="7"/>
        <v>0.59010600706713778</v>
      </c>
      <c r="AI11" s="28">
        <f t="shared" si="8"/>
        <v>0.64470842332613387</v>
      </c>
      <c r="AJ11" s="28"/>
      <c r="AK11" s="28"/>
      <c r="AL11" s="20"/>
      <c r="AM11" s="19" t="s">
        <v>368</v>
      </c>
      <c r="AN11" s="2">
        <v>10384</v>
      </c>
      <c r="AO11" s="2">
        <v>7308</v>
      </c>
      <c r="AP11" s="20">
        <f>(AN11-AO11)/7</f>
        <v>439.42857142857144</v>
      </c>
      <c r="AQ11" s="20"/>
      <c r="AS11" s="19" t="s">
        <v>55</v>
      </c>
      <c r="AT11" s="2">
        <v>1140</v>
      </c>
      <c r="AU11" s="2">
        <v>674</v>
      </c>
      <c r="AV11" s="2">
        <v>2340</v>
      </c>
      <c r="AW11" s="2">
        <v>1858</v>
      </c>
      <c r="AX11" s="2">
        <v>1857</v>
      </c>
      <c r="AY11" s="2">
        <v>1293</v>
      </c>
      <c r="AZ11" s="2">
        <v>1270</v>
      </c>
      <c r="BA11" s="2">
        <v>826</v>
      </c>
      <c r="BB11" s="2">
        <v>923</v>
      </c>
      <c r="BC11" s="2">
        <v>616</v>
      </c>
      <c r="BD11" s="2">
        <v>1865</v>
      </c>
      <c r="BE11" s="2">
        <v>1238</v>
      </c>
      <c r="BF11" s="2">
        <v>1036</v>
      </c>
      <c r="BG11" s="2">
        <v>712</v>
      </c>
      <c r="BH11" s="2">
        <v>10431</v>
      </c>
      <c r="BI11" s="2">
        <v>7217</v>
      </c>
      <c r="BJ11" s="2"/>
      <c r="BL11" s="20" t="s">
        <v>49</v>
      </c>
      <c r="BM11" s="25">
        <f t="shared" si="9"/>
        <v>439.42857142857144</v>
      </c>
      <c r="BN11" s="25">
        <f t="shared" si="10"/>
        <v>69.142857142857139</v>
      </c>
      <c r="BO11" s="25">
        <f t="shared" si="11"/>
        <v>65.285714285714292</v>
      </c>
      <c r="BP11" s="25">
        <f t="shared" si="12"/>
        <v>49.571428571428569</v>
      </c>
      <c r="BQ11" s="25">
        <f t="shared" si="13"/>
        <v>98</v>
      </c>
      <c r="BR11" s="25">
        <f t="shared" si="14"/>
        <v>44.142857142857146</v>
      </c>
      <c r="BS11" s="25">
        <f t="shared" si="15"/>
        <v>66.285714285714292</v>
      </c>
      <c r="BT11" s="25">
        <f t="shared" si="0"/>
        <v>47</v>
      </c>
    </row>
    <row r="12" spans="1:72" x14ac:dyDescent="0.25">
      <c r="A12" s="3"/>
      <c r="B12" s="19" t="s">
        <v>377</v>
      </c>
      <c r="C12" s="2">
        <v>10430</v>
      </c>
      <c r="D12" s="2">
        <v>7298</v>
      </c>
      <c r="E12" s="3">
        <f>D12/C12</f>
        <v>0.69971236816874405</v>
      </c>
      <c r="G12" s="28"/>
      <c r="H12" s="19" t="s">
        <v>56</v>
      </c>
      <c r="I12" s="2">
        <v>1136</v>
      </c>
      <c r="J12" s="2">
        <v>643</v>
      </c>
      <c r="K12" s="2">
        <v>2173</v>
      </c>
      <c r="L12" s="2">
        <v>1679</v>
      </c>
      <c r="M12" s="2">
        <v>1854</v>
      </c>
      <c r="N12" s="2">
        <v>1319</v>
      </c>
      <c r="O12" s="2">
        <v>1279</v>
      </c>
      <c r="P12" s="2">
        <v>855</v>
      </c>
      <c r="Q12" s="2">
        <v>930</v>
      </c>
      <c r="R12" s="2">
        <v>608</v>
      </c>
      <c r="S12" s="2">
        <v>1865</v>
      </c>
      <c r="T12" s="2">
        <v>1157</v>
      </c>
      <c r="U12" s="2">
        <v>1036</v>
      </c>
      <c r="V12" s="2">
        <v>716</v>
      </c>
      <c r="W12" s="2">
        <v>10273</v>
      </c>
      <c r="X12" s="2">
        <v>6977</v>
      </c>
      <c r="Y12" s="2"/>
      <c r="Z12" s="28"/>
      <c r="AA12" s="20" t="s">
        <v>50</v>
      </c>
      <c r="AB12" s="28">
        <f t="shared" si="1"/>
        <v>0.69971236816874405</v>
      </c>
      <c r="AC12" s="28">
        <f t="shared" si="2"/>
        <v>0.78314798973481603</v>
      </c>
      <c r="AD12" s="28">
        <f t="shared" si="3"/>
        <v>0.74822888283378741</v>
      </c>
      <c r="AE12" s="28">
        <f t="shared" si="4"/>
        <v>0.72565687789799072</v>
      </c>
      <c r="AF12" s="28">
        <f t="shared" si="5"/>
        <v>0.63121693121693123</v>
      </c>
      <c r="AG12" s="28">
        <f t="shared" si="6"/>
        <v>0.6810176125244618</v>
      </c>
      <c r="AH12" s="28">
        <f t="shared" si="7"/>
        <v>0.5771632471008028</v>
      </c>
      <c r="AI12" s="28">
        <f t="shared" si="8"/>
        <v>0.66559139784946242</v>
      </c>
      <c r="AJ12" s="28"/>
      <c r="AK12" s="28"/>
      <c r="AL12" s="20"/>
      <c r="AM12" s="19" t="s">
        <v>377</v>
      </c>
      <c r="AN12" s="2">
        <v>10430</v>
      </c>
      <c r="AO12" s="2">
        <v>7298</v>
      </c>
      <c r="AP12" s="20">
        <f t="shared" si="17"/>
        <v>447.42857142857144</v>
      </c>
      <c r="AQ12" s="20"/>
      <c r="AS12" s="19" t="s">
        <v>56</v>
      </c>
      <c r="AT12" s="2">
        <v>1136</v>
      </c>
      <c r="AU12" s="2">
        <v>643</v>
      </c>
      <c r="AV12" s="2">
        <v>2173</v>
      </c>
      <c r="AW12" s="2">
        <v>1679</v>
      </c>
      <c r="AX12" s="2">
        <v>1854</v>
      </c>
      <c r="AY12" s="2">
        <v>1319</v>
      </c>
      <c r="AZ12" s="2">
        <v>1279</v>
      </c>
      <c r="BA12" s="2">
        <v>855</v>
      </c>
      <c r="BB12" s="2">
        <v>930</v>
      </c>
      <c r="BC12" s="2">
        <v>608</v>
      </c>
      <c r="BD12" s="2">
        <v>1865</v>
      </c>
      <c r="BE12" s="2">
        <v>1157</v>
      </c>
      <c r="BF12" s="2">
        <v>1036</v>
      </c>
      <c r="BG12" s="2">
        <v>716</v>
      </c>
      <c r="BH12" s="2">
        <v>10273</v>
      </c>
      <c r="BI12" s="2">
        <v>6977</v>
      </c>
      <c r="BJ12" s="2"/>
      <c r="BL12" s="20" t="s">
        <v>50</v>
      </c>
      <c r="BM12" s="25">
        <f t="shared" si="9"/>
        <v>447.42857142857144</v>
      </c>
      <c r="BN12" s="25">
        <f t="shared" si="10"/>
        <v>72.428571428571431</v>
      </c>
      <c r="BO12" s="25">
        <f t="shared" si="11"/>
        <v>66</v>
      </c>
      <c r="BP12" s="25">
        <f t="shared" si="12"/>
        <v>50.714285714285715</v>
      </c>
      <c r="BQ12" s="25">
        <f t="shared" si="13"/>
        <v>99.571428571428569</v>
      </c>
      <c r="BR12" s="25">
        <f t="shared" si="14"/>
        <v>46.571428571428569</v>
      </c>
      <c r="BS12" s="25">
        <f t="shared" si="15"/>
        <v>67.714285714285708</v>
      </c>
      <c r="BT12" s="25">
        <f t="shared" si="0"/>
        <v>44.428571428571431</v>
      </c>
    </row>
    <row r="13" spans="1:72" x14ac:dyDescent="0.25">
      <c r="A13" s="3"/>
      <c r="B13" s="19" t="s">
        <v>386</v>
      </c>
      <c r="C13" s="2">
        <v>10383</v>
      </c>
      <c r="D13" s="2">
        <v>7244</v>
      </c>
      <c r="E13" s="3">
        <f>D13/C13</f>
        <v>0.6976788981989791</v>
      </c>
      <c r="G13" s="28"/>
      <c r="H13" s="19" t="s">
        <v>45</v>
      </c>
      <c r="I13" s="2">
        <v>1139</v>
      </c>
      <c r="J13" s="2">
        <v>704</v>
      </c>
      <c r="K13" s="2">
        <v>2345</v>
      </c>
      <c r="L13" s="2">
        <v>2028</v>
      </c>
      <c r="M13" s="2">
        <v>1874</v>
      </c>
      <c r="N13" s="2">
        <v>1472</v>
      </c>
      <c r="O13" s="2">
        <v>1284</v>
      </c>
      <c r="P13" s="2">
        <v>905</v>
      </c>
      <c r="Q13" s="2">
        <v>933</v>
      </c>
      <c r="R13" s="2">
        <v>630</v>
      </c>
      <c r="S13" s="2">
        <v>1816</v>
      </c>
      <c r="T13" s="2">
        <v>1198</v>
      </c>
      <c r="U13" s="2">
        <v>1023</v>
      </c>
      <c r="V13" s="2">
        <v>814</v>
      </c>
      <c r="W13" s="2">
        <v>10414</v>
      </c>
      <c r="X13" s="2">
        <v>7751</v>
      </c>
      <c r="Y13" s="2"/>
      <c r="Z13" s="28"/>
      <c r="AA13" s="20" t="s">
        <v>51</v>
      </c>
      <c r="AB13" s="28">
        <f t="shared" si="1"/>
        <v>0.6976788981989791</v>
      </c>
      <c r="AC13" s="28">
        <f t="shared" si="2"/>
        <v>0.78379530916844353</v>
      </c>
      <c r="AD13" s="28">
        <f t="shared" si="3"/>
        <v>0.73689956331877726</v>
      </c>
      <c r="AE13" s="28">
        <f t="shared" si="4"/>
        <v>0.68533123028391163</v>
      </c>
      <c r="AF13" s="28">
        <f t="shared" si="5"/>
        <v>0.61719167111585693</v>
      </c>
      <c r="AG13" s="28">
        <f t="shared" si="6"/>
        <v>0.7041015625</v>
      </c>
      <c r="AH13" s="28">
        <f t="shared" si="7"/>
        <v>0.56537421100090168</v>
      </c>
      <c r="AI13" s="28">
        <f t="shared" si="8"/>
        <v>0.73283261802575106</v>
      </c>
      <c r="AJ13" s="28"/>
      <c r="AK13" s="28"/>
      <c r="AL13" s="20"/>
      <c r="AM13" s="19" t="s">
        <v>386</v>
      </c>
      <c r="AN13" s="2">
        <v>10383</v>
      </c>
      <c r="AO13" s="2">
        <v>7244</v>
      </c>
      <c r="AP13" s="20">
        <f t="shared" si="17"/>
        <v>448.42857142857144</v>
      </c>
      <c r="AQ13" s="20"/>
      <c r="AS13" s="19" t="s">
        <v>45</v>
      </c>
      <c r="AT13" s="2">
        <v>1139</v>
      </c>
      <c r="AU13" s="2">
        <v>704</v>
      </c>
      <c r="AV13" s="2">
        <v>2345</v>
      </c>
      <c r="AW13" s="2">
        <v>2028</v>
      </c>
      <c r="AX13" s="2">
        <v>1874</v>
      </c>
      <c r="AY13" s="2">
        <v>1472</v>
      </c>
      <c r="AZ13" s="2">
        <v>1284</v>
      </c>
      <c r="BA13" s="2">
        <v>905</v>
      </c>
      <c r="BB13" s="2">
        <v>933</v>
      </c>
      <c r="BC13" s="2">
        <v>630</v>
      </c>
      <c r="BD13" s="2">
        <v>1816</v>
      </c>
      <c r="BE13" s="2">
        <v>1198</v>
      </c>
      <c r="BF13" s="2">
        <v>1023</v>
      </c>
      <c r="BG13" s="2">
        <v>814</v>
      </c>
      <c r="BH13" s="2">
        <v>10414</v>
      </c>
      <c r="BI13" s="2">
        <v>7751</v>
      </c>
      <c r="BJ13" s="2"/>
      <c r="BL13" s="20" t="s">
        <v>51</v>
      </c>
      <c r="BM13" s="25">
        <f t="shared" si="9"/>
        <v>448.42857142857144</v>
      </c>
      <c r="BN13" s="25">
        <f t="shared" si="10"/>
        <v>72.428571428571431</v>
      </c>
      <c r="BO13" s="25">
        <f t="shared" si="11"/>
        <v>68.857142857142861</v>
      </c>
      <c r="BP13" s="25">
        <f t="shared" si="12"/>
        <v>57</v>
      </c>
      <c r="BQ13" s="25">
        <f t="shared" si="13"/>
        <v>102.42857142857143</v>
      </c>
      <c r="BR13" s="25">
        <f t="shared" si="14"/>
        <v>43.285714285714285</v>
      </c>
      <c r="BS13" s="25">
        <f t="shared" si="15"/>
        <v>68.857142857142861</v>
      </c>
      <c r="BT13" s="25">
        <f t="shared" si="0"/>
        <v>35.571428571428569</v>
      </c>
    </row>
    <row r="14" spans="1:72" x14ac:dyDescent="0.25">
      <c r="A14" s="3"/>
      <c r="B14" s="19" t="s">
        <v>395</v>
      </c>
      <c r="C14" s="2">
        <v>10356</v>
      </c>
      <c r="D14" s="2">
        <v>7286</v>
      </c>
      <c r="E14" s="3">
        <f t="shared" si="16"/>
        <v>0.70355349555813051</v>
      </c>
      <c r="G14" s="28"/>
      <c r="H14" s="19" t="s">
        <v>46</v>
      </c>
      <c r="I14" s="2">
        <v>1148</v>
      </c>
      <c r="J14" s="2">
        <v>743</v>
      </c>
      <c r="K14" s="2">
        <v>2342</v>
      </c>
      <c r="L14" s="2">
        <v>2041</v>
      </c>
      <c r="M14" s="2">
        <v>1867</v>
      </c>
      <c r="N14" s="2">
        <v>1431</v>
      </c>
      <c r="O14" s="2">
        <v>1268</v>
      </c>
      <c r="P14" s="2">
        <v>895</v>
      </c>
      <c r="Q14" s="2">
        <v>948</v>
      </c>
      <c r="R14" s="2">
        <v>674</v>
      </c>
      <c r="S14" s="2">
        <v>1856</v>
      </c>
      <c r="T14" s="2">
        <v>1276</v>
      </c>
      <c r="U14" s="2">
        <v>1022</v>
      </c>
      <c r="V14" s="2">
        <v>751</v>
      </c>
      <c r="W14" s="2">
        <v>10451</v>
      </c>
      <c r="X14" s="2">
        <v>7811</v>
      </c>
      <c r="Y14" s="2"/>
      <c r="Z14" s="28"/>
      <c r="AA14" s="20" t="s">
        <v>52</v>
      </c>
      <c r="AB14" s="28">
        <f t="shared" si="1"/>
        <v>0.70355349555813051</v>
      </c>
      <c r="AC14" s="28">
        <f t="shared" si="2"/>
        <v>0.8015397775876818</v>
      </c>
      <c r="AD14" s="28">
        <f t="shared" si="3"/>
        <v>0.73672687465790909</v>
      </c>
      <c r="AE14" s="28">
        <f t="shared" si="4"/>
        <v>0.65867306155075944</v>
      </c>
      <c r="AF14" s="28">
        <f t="shared" si="5"/>
        <v>0.62372517444981213</v>
      </c>
      <c r="AG14" s="28">
        <f t="shared" si="6"/>
        <v>0.68918918918918914</v>
      </c>
      <c r="AH14" s="28">
        <f t="shared" si="7"/>
        <v>0.62903225806451613</v>
      </c>
      <c r="AI14" s="28">
        <f t="shared" si="8"/>
        <v>0.71783783783783783</v>
      </c>
      <c r="AJ14" s="28"/>
      <c r="AK14" s="28"/>
      <c r="AL14" s="20"/>
      <c r="AM14" s="19" t="s">
        <v>395</v>
      </c>
      <c r="AN14" s="2">
        <v>10356</v>
      </c>
      <c r="AO14" s="2">
        <v>7286</v>
      </c>
      <c r="AP14" s="20">
        <f t="shared" si="17"/>
        <v>438.57142857142856</v>
      </c>
      <c r="AQ14" s="20"/>
      <c r="AS14" s="19" t="s">
        <v>46</v>
      </c>
      <c r="AT14" s="2">
        <v>1148</v>
      </c>
      <c r="AU14" s="2">
        <v>743</v>
      </c>
      <c r="AV14" s="2">
        <v>2342</v>
      </c>
      <c r="AW14" s="2">
        <v>2041</v>
      </c>
      <c r="AX14" s="2">
        <v>1867</v>
      </c>
      <c r="AY14" s="2">
        <v>1431</v>
      </c>
      <c r="AZ14" s="2">
        <v>1268</v>
      </c>
      <c r="BA14" s="2">
        <v>895</v>
      </c>
      <c r="BB14" s="2">
        <v>948</v>
      </c>
      <c r="BC14" s="2">
        <v>674</v>
      </c>
      <c r="BD14" s="2">
        <v>1856</v>
      </c>
      <c r="BE14" s="2">
        <v>1276</v>
      </c>
      <c r="BF14" s="2">
        <v>1022</v>
      </c>
      <c r="BG14" s="2">
        <v>751</v>
      </c>
      <c r="BH14" s="2">
        <v>10451</v>
      </c>
      <c r="BI14" s="2">
        <v>7811</v>
      </c>
      <c r="BJ14" s="2"/>
      <c r="BL14" s="20" t="s">
        <v>52</v>
      </c>
      <c r="BM14" s="25">
        <f t="shared" si="9"/>
        <v>438.57142857142856</v>
      </c>
      <c r="BN14" s="25">
        <f t="shared" si="10"/>
        <v>66.285714285714292</v>
      </c>
      <c r="BO14" s="25">
        <f t="shared" si="11"/>
        <v>68.714285714285708</v>
      </c>
      <c r="BP14" s="25">
        <f t="shared" si="12"/>
        <v>61</v>
      </c>
      <c r="BQ14" s="25">
        <f t="shared" si="13"/>
        <v>100.14285714285714</v>
      </c>
      <c r="BR14" s="25">
        <f t="shared" si="14"/>
        <v>46</v>
      </c>
      <c r="BS14" s="25">
        <f t="shared" si="15"/>
        <v>59.142857142857146</v>
      </c>
      <c r="BT14" s="25">
        <f t="shared" si="0"/>
        <v>37.285714285714285</v>
      </c>
    </row>
    <row r="15" spans="1:72" x14ac:dyDescent="0.25">
      <c r="A15" s="3"/>
      <c r="B15" s="19" t="s">
        <v>404</v>
      </c>
      <c r="C15" s="2">
        <v>10429</v>
      </c>
      <c r="D15" s="2">
        <v>7216</v>
      </c>
      <c r="E15" s="3">
        <f t="shared" si="16"/>
        <v>0.69191677054367628</v>
      </c>
      <c r="G15" s="28"/>
      <c r="H15" s="19" t="s">
        <v>47</v>
      </c>
      <c r="I15" s="2">
        <v>1151</v>
      </c>
      <c r="J15" s="2">
        <v>697</v>
      </c>
      <c r="K15" s="2">
        <v>2337</v>
      </c>
      <c r="L15" s="2">
        <v>1952</v>
      </c>
      <c r="M15" s="2">
        <v>1824</v>
      </c>
      <c r="N15" s="2">
        <v>1303</v>
      </c>
      <c r="O15" s="2">
        <v>1256</v>
      </c>
      <c r="P15" s="2">
        <v>806</v>
      </c>
      <c r="Q15" s="2">
        <v>929</v>
      </c>
      <c r="R15" s="2">
        <v>635</v>
      </c>
      <c r="S15" s="2">
        <v>1855</v>
      </c>
      <c r="T15" s="2">
        <v>1230</v>
      </c>
      <c r="U15" s="2">
        <v>1022</v>
      </c>
      <c r="V15" s="2">
        <v>757</v>
      </c>
      <c r="W15" s="2">
        <v>10374</v>
      </c>
      <c r="X15" s="2">
        <v>7380</v>
      </c>
      <c r="Y15" s="2"/>
      <c r="Z15" s="28"/>
      <c r="AA15" s="20" t="s">
        <v>53</v>
      </c>
      <c r="AB15" s="28">
        <f t="shared" si="1"/>
        <v>0.69191677054367628</v>
      </c>
      <c r="AC15" s="28">
        <f t="shared" si="2"/>
        <v>0.82724957555178269</v>
      </c>
      <c r="AD15" s="28">
        <f t="shared" si="3"/>
        <v>0.69667738478027863</v>
      </c>
      <c r="AE15" s="28">
        <f t="shared" si="4"/>
        <v>0.73349244232299127</v>
      </c>
      <c r="AF15" s="28">
        <f t="shared" si="5"/>
        <v>0.58700322234156821</v>
      </c>
      <c r="AG15" s="28">
        <f t="shared" si="6"/>
        <v>0.70077220077220082</v>
      </c>
      <c r="AH15" s="28">
        <f t="shared" si="7"/>
        <v>0.56761565836298933</v>
      </c>
      <c r="AI15" s="28">
        <f t="shared" si="8"/>
        <v>0.63362068965517238</v>
      </c>
      <c r="AJ15" s="28"/>
      <c r="AK15" s="28"/>
      <c r="AL15" s="20"/>
      <c r="AM15" s="19" t="s">
        <v>404</v>
      </c>
      <c r="AN15" s="2">
        <v>10429</v>
      </c>
      <c r="AO15" s="2">
        <v>7216</v>
      </c>
      <c r="AP15" s="20">
        <f t="shared" si="17"/>
        <v>459</v>
      </c>
      <c r="AQ15" s="20"/>
      <c r="AS15" s="19" t="s">
        <v>47</v>
      </c>
      <c r="AT15" s="2">
        <v>1151</v>
      </c>
      <c r="AU15" s="2">
        <v>697</v>
      </c>
      <c r="AV15" s="2">
        <v>2337</v>
      </c>
      <c r="AW15" s="2">
        <v>1952</v>
      </c>
      <c r="AX15" s="2">
        <v>1824</v>
      </c>
      <c r="AY15" s="2">
        <v>1303</v>
      </c>
      <c r="AZ15" s="2">
        <v>1256</v>
      </c>
      <c r="BA15" s="2">
        <v>806</v>
      </c>
      <c r="BB15" s="2">
        <v>929</v>
      </c>
      <c r="BC15" s="2">
        <v>635</v>
      </c>
      <c r="BD15" s="2">
        <v>1855</v>
      </c>
      <c r="BE15" s="2">
        <v>1230</v>
      </c>
      <c r="BF15" s="2">
        <v>1022</v>
      </c>
      <c r="BG15" s="2">
        <v>757</v>
      </c>
      <c r="BH15" s="2">
        <v>10374</v>
      </c>
      <c r="BI15" s="2">
        <v>7380</v>
      </c>
      <c r="BJ15" s="2"/>
      <c r="BL15" s="20" t="s">
        <v>53</v>
      </c>
      <c r="BM15" s="25">
        <f t="shared" si="9"/>
        <v>459</v>
      </c>
      <c r="BN15" s="25">
        <f t="shared" si="10"/>
        <v>58.142857142857146</v>
      </c>
      <c r="BO15" s="25">
        <f t="shared" si="11"/>
        <v>80.857142857142861</v>
      </c>
      <c r="BP15" s="25">
        <f t="shared" si="12"/>
        <v>47.857142857142854</v>
      </c>
      <c r="BQ15" s="25">
        <f t="shared" si="13"/>
        <v>109.85714285714286</v>
      </c>
      <c r="BR15" s="25">
        <f t="shared" si="14"/>
        <v>44.285714285714285</v>
      </c>
      <c r="BS15" s="25">
        <f t="shared" si="15"/>
        <v>69.428571428571431</v>
      </c>
      <c r="BT15" s="25">
        <f t="shared" si="0"/>
        <v>48.571428571428569</v>
      </c>
    </row>
    <row r="16" spans="1:72" x14ac:dyDescent="0.25">
      <c r="A16" s="3"/>
      <c r="B16" s="19" t="s">
        <v>413</v>
      </c>
      <c r="C16" s="2">
        <v>10417</v>
      </c>
      <c r="D16" s="2">
        <v>7315</v>
      </c>
      <c r="E16" s="3">
        <f t="shared" si="16"/>
        <v>0.70221752903907075</v>
      </c>
      <c r="G16" s="28"/>
      <c r="H16" s="19" t="s">
        <v>48</v>
      </c>
      <c r="I16" s="2">
        <v>1136</v>
      </c>
      <c r="J16" s="2">
        <v>660</v>
      </c>
      <c r="K16" s="2">
        <v>2344</v>
      </c>
      <c r="L16" s="2">
        <v>1913</v>
      </c>
      <c r="M16" s="2">
        <v>1858</v>
      </c>
      <c r="N16" s="2">
        <v>1314</v>
      </c>
      <c r="O16" s="2">
        <v>1270</v>
      </c>
      <c r="P16" s="2">
        <v>885</v>
      </c>
      <c r="Q16" s="2">
        <v>921</v>
      </c>
      <c r="R16" s="2">
        <v>557</v>
      </c>
      <c r="S16" s="2">
        <v>1839</v>
      </c>
      <c r="T16" s="2">
        <v>1125</v>
      </c>
      <c r="U16" s="2">
        <v>991</v>
      </c>
      <c r="V16" s="2">
        <v>702</v>
      </c>
      <c r="W16" s="2">
        <v>10359</v>
      </c>
      <c r="X16" s="2">
        <v>7156</v>
      </c>
      <c r="Y16" s="2"/>
      <c r="Z16" s="28"/>
      <c r="AA16" s="20" t="s">
        <v>54</v>
      </c>
      <c r="AB16" s="28">
        <f t="shared" si="1"/>
        <v>0.70221752903907075</v>
      </c>
      <c r="AC16" s="28">
        <f t="shared" si="2"/>
        <v>0.82951653944020354</v>
      </c>
      <c r="AD16" s="28">
        <f t="shared" si="3"/>
        <v>0.71708378672470074</v>
      </c>
      <c r="AE16" s="28">
        <f t="shared" si="4"/>
        <v>0.70086819258089972</v>
      </c>
      <c r="AF16" s="28">
        <f t="shared" si="5"/>
        <v>0.62796976241900648</v>
      </c>
      <c r="AG16" s="28">
        <f t="shared" si="6"/>
        <v>0.71621621621621623</v>
      </c>
      <c r="AH16" s="28">
        <f t="shared" si="7"/>
        <v>0.5525394045534151</v>
      </c>
      <c r="AI16" s="28">
        <f t="shared" si="8"/>
        <v>0.66774891774891776</v>
      </c>
      <c r="AJ16" s="28"/>
      <c r="AK16" s="28"/>
      <c r="AL16" s="20"/>
      <c r="AM16" s="19" t="s">
        <v>413</v>
      </c>
      <c r="AN16" s="2">
        <v>10417</v>
      </c>
      <c r="AO16" s="2">
        <v>7315</v>
      </c>
      <c r="AP16" s="20">
        <f t="shared" si="17"/>
        <v>443.14285714285717</v>
      </c>
      <c r="AQ16" s="20"/>
      <c r="AS16" s="19" t="s">
        <v>48</v>
      </c>
      <c r="AT16" s="2">
        <v>1136</v>
      </c>
      <c r="AU16" s="2">
        <v>660</v>
      </c>
      <c r="AV16" s="2">
        <v>2344</v>
      </c>
      <c r="AW16" s="2">
        <v>1913</v>
      </c>
      <c r="AX16" s="2">
        <v>1858</v>
      </c>
      <c r="AY16" s="2">
        <v>1314</v>
      </c>
      <c r="AZ16" s="2">
        <v>1270</v>
      </c>
      <c r="BA16" s="2">
        <v>885</v>
      </c>
      <c r="BB16" s="2">
        <v>921</v>
      </c>
      <c r="BC16" s="2">
        <v>557</v>
      </c>
      <c r="BD16" s="2">
        <v>1839</v>
      </c>
      <c r="BE16" s="2">
        <v>1125</v>
      </c>
      <c r="BF16" s="2">
        <v>991</v>
      </c>
      <c r="BG16" s="2">
        <v>702</v>
      </c>
      <c r="BH16" s="2">
        <v>10359</v>
      </c>
      <c r="BI16" s="2">
        <v>7156</v>
      </c>
      <c r="BJ16" s="2"/>
      <c r="BL16" s="20" t="s">
        <v>54</v>
      </c>
      <c r="BM16" s="25">
        <f t="shared" si="9"/>
        <v>443.14285714285717</v>
      </c>
      <c r="BN16" s="25">
        <f t="shared" si="10"/>
        <v>57.428571428571431</v>
      </c>
      <c r="BO16" s="25">
        <f t="shared" si="11"/>
        <v>74.285714285714292</v>
      </c>
      <c r="BP16" s="25">
        <f t="shared" si="12"/>
        <v>54.142857142857146</v>
      </c>
      <c r="BQ16" s="25">
        <f t="shared" si="13"/>
        <v>98.428571428571431</v>
      </c>
      <c r="BR16" s="25">
        <f t="shared" si="14"/>
        <v>42</v>
      </c>
      <c r="BS16" s="25">
        <f t="shared" si="15"/>
        <v>73</v>
      </c>
      <c r="BT16" s="25">
        <f t="shared" si="0"/>
        <v>43.857142857142854</v>
      </c>
    </row>
    <row r="17" spans="1:72" x14ac:dyDescent="0.25">
      <c r="A17" s="3"/>
      <c r="B17" s="19" t="s">
        <v>422</v>
      </c>
      <c r="C17" s="2">
        <v>10431</v>
      </c>
      <c r="D17" s="2">
        <v>7217</v>
      </c>
      <c r="E17" s="3">
        <f t="shared" si="16"/>
        <v>0.69187997315693606</v>
      </c>
      <c r="G17" s="28"/>
      <c r="H17" s="19" t="s">
        <v>49</v>
      </c>
      <c r="I17" s="2">
        <v>1132</v>
      </c>
      <c r="J17" s="2">
        <v>668</v>
      </c>
      <c r="K17" s="2">
        <v>2339</v>
      </c>
      <c r="L17" s="2">
        <v>1855</v>
      </c>
      <c r="M17" s="2">
        <v>1832</v>
      </c>
      <c r="N17" s="2">
        <v>1375</v>
      </c>
      <c r="O17" s="2">
        <v>1285</v>
      </c>
      <c r="P17" s="2">
        <v>938</v>
      </c>
      <c r="Q17" s="2">
        <v>926</v>
      </c>
      <c r="R17" s="2">
        <v>597</v>
      </c>
      <c r="S17" s="2">
        <v>1848</v>
      </c>
      <c r="T17" s="2">
        <v>1162</v>
      </c>
      <c r="U17" s="2">
        <v>1022</v>
      </c>
      <c r="V17" s="2">
        <v>713</v>
      </c>
      <c r="W17" s="2">
        <v>10384</v>
      </c>
      <c r="X17" s="2">
        <v>7308</v>
      </c>
      <c r="Y17" s="2"/>
      <c r="Z17" s="28"/>
      <c r="AA17" s="20" t="s">
        <v>55</v>
      </c>
      <c r="AB17" s="28">
        <f t="shared" si="1"/>
        <v>0.69187997315693606</v>
      </c>
      <c r="AC17" s="28">
        <f t="shared" si="2"/>
        <v>0.79401709401709397</v>
      </c>
      <c r="AD17" s="28">
        <f t="shared" si="3"/>
        <v>0.69628432956381259</v>
      </c>
      <c r="AE17" s="28">
        <f t="shared" si="4"/>
        <v>0.65039370078740155</v>
      </c>
      <c r="AF17" s="28">
        <f t="shared" si="5"/>
        <v>0.66380697050938342</v>
      </c>
      <c r="AG17" s="28">
        <f t="shared" si="6"/>
        <v>0.68725868725868722</v>
      </c>
      <c r="AH17" s="28">
        <f t="shared" si="7"/>
        <v>0.59122807017543855</v>
      </c>
      <c r="AI17" s="28">
        <f t="shared" si="8"/>
        <v>0.66738894907908997</v>
      </c>
      <c r="AJ17" s="28"/>
      <c r="AK17" s="28"/>
      <c r="AL17" s="20"/>
      <c r="AM17" s="19" t="s">
        <v>422</v>
      </c>
      <c r="AN17" s="2">
        <v>10431</v>
      </c>
      <c r="AO17" s="2">
        <v>7217</v>
      </c>
      <c r="AP17" s="20">
        <f t="shared" si="17"/>
        <v>459.14285714285717</v>
      </c>
      <c r="AQ17" s="20"/>
      <c r="AS17" s="19" t="s">
        <v>49</v>
      </c>
      <c r="AT17" s="2">
        <v>1132</v>
      </c>
      <c r="AU17" s="2">
        <v>668</v>
      </c>
      <c r="AV17" s="2">
        <v>2339</v>
      </c>
      <c r="AW17" s="2">
        <v>1855</v>
      </c>
      <c r="AX17" s="2">
        <v>1832</v>
      </c>
      <c r="AY17" s="2">
        <v>1375</v>
      </c>
      <c r="AZ17" s="2">
        <v>1285</v>
      </c>
      <c r="BA17" s="2">
        <v>938</v>
      </c>
      <c r="BB17" s="2">
        <v>926</v>
      </c>
      <c r="BC17" s="2">
        <v>597</v>
      </c>
      <c r="BD17" s="2">
        <v>1848</v>
      </c>
      <c r="BE17" s="2">
        <v>1162</v>
      </c>
      <c r="BF17" s="2">
        <v>1022</v>
      </c>
      <c r="BG17" s="2">
        <v>713</v>
      </c>
      <c r="BH17" s="2">
        <v>10384</v>
      </c>
      <c r="BI17" s="2">
        <v>7308</v>
      </c>
      <c r="BJ17" s="2"/>
      <c r="BL17" s="20" t="s">
        <v>55</v>
      </c>
      <c r="BM17" s="25">
        <f t="shared" si="9"/>
        <v>459.14285714285717</v>
      </c>
      <c r="BN17" s="25">
        <f t="shared" si="10"/>
        <v>68.857142857142861</v>
      </c>
      <c r="BO17" s="25">
        <f t="shared" si="11"/>
        <v>80.571428571428569</v>
      </c>
      <c r="BP17" s="25">
        <f t="shared" si="12"/>
        <v>63.428571428571431</v>
      </c>
      <c r="BQ17" s="25">
        <f t="shared" si="13"/>
        <v>89.571428571428569</v>
      </c>
      <c r="BR17" s="25">
        <f t="shared" si="14"/>
        <v>46.285714285714285</v>
      </c>
      <c r="BS17" s="25">
        <f t="shared" si="15"/>
        <v>66.571428571428569</v>
      </c>
      <c r="BT17" s="25">
        <f t="shared" si="0"/>
        <v>43.857142857142854</v>
      </c>
    </row>
    <row r="18" spans="1:72" x14ac:dyDescent="0.25">
      <c r="A18" s="3"/>
      <c r="B18" s="19" t="s">
        <v>431</v>
      </c>
      <c r="C18" s="2">
        <v>10273</v>
      </c>
      <c r="D18" s="2">
        <v>6977</v>
      </c>
      <c r="E18" s="3">
        <f t="shared" si="16"/>
        <v>0.67915896038158274</v>
      </c>
      <c r="G18" s="28"/>
      <c r="H18" s="19" t="s">
        <v>50</v>
      </c>
      <c r="I18" s="2">
        <v>1121</v>
      </c>
      <c r="J18" s="2">
        <v>647</v>
      </c>
      <c r="K18" s="2">
        <v>2338</v>
      </c>
      <c r="L18" s="2">
        <v>1831</v>
      </c>
      <c r="M18" s="2">
        <v>1835</v>
      </c>
      <c r="N18" s="2">
        <v>1373</v>
      </c>
      <c r="O18" s="2">
        <v>1294</v>
      </c>
      <c r="P18" s="2">
        <v>939</v>
      </c>
      <c r="Q18" s="2">
        <v>930</v>
      </c>
      <c r="R18" s="2">
        <v>619</v>
      </c>
      <c r="S18" s="2">
        <v>1890</v>
      </c>
      <c r="T18" s="2">
        <v>1193</v>
      </c>
      <c r="U18" s="2">
        <v>1022</v>
      </c>
      <c r="V18" s="2">
        <v>696</v>
      </c>
      <c r="W18" s="2">
        <v>10430</v>
      </c>
      <c r="X18" s="2">
        <v>7298</v>
      </c>
      <c r="Y18" s="2"/>
      <c r="Z18" s="28"/>
      <c r="AA18" s="20" t="s">
        <v>56</v>
      </c>
      <c r="AB18" s="28">
        <f t="shared" si="1"/>
        <v>0.67915896038158274</v>
      </c>
      <c r="AC18" s="28">
        <f t="shared" si="2"/>
        <v>0.77266451909802114</v>
      </c>
      <c r="AD18" s="28">
        <f t="shared" si="3"/>
        <v>0.71143473570658033</v>
      </c>
      <c r="AE18" s="28">
        <f t="shared" si="4"/>
        <v>0.66849100860046906</v>
      </c>
      <c r="AF18" s="28">
        <f t="shared" si="5"/>
        <v>0.62037533512064347</v>
      </c>
      <c r="AG18" s="28">
        <f t="shared" si="6"/>
        <v>0.69111969111969107</v>
      </c>
      <c r="AH18" s="28">
        <f t="shared" si="7"/>
        <v>0.56602112676056338</v>
      </c>
      <c r="AI18" s="28">
        <f t="shared" si="8"/>
        <v>0.65376344086021509</v>
      </c>
      <c r="AJ18" s="28"/>
      <c r="AK18" s="28"/>
      <c r="AL18" s="20"/>
      <c r="AM18" s="19" t="s">
        <v>431</v>
      </c>
      <c r="AN18" s="2">
        <v>10273</v>
      </c>
      <c r="AO18" s="2">
        <v>6977</v>
      </c>
      <c r="AP18" s="20">
        <f t="shared" si="17"/>
        <v>470.85714285714283</v>
      </c>
      <c r="AQ18" s="20"/>
      <c r="AS18" s="19" t="s">
        <v>50</v>
      </c>
      <c r="AT18" s="2">
        <v>1121</v>
      </c>
      <c r="AU18" s="2">
        <v>647</v>
      </c>
      <c r="AV18" s="2">
        <v>2338</v>
      </c>
      <c r="AW18" s="2">
        <v>1831</v>
      </c>
      <c r="AX18" s="2">
        <v>1835</v>
      </c>
      <c r="AY18" s="2">
        <v>1373</v>
      </c>
      <c r="AZ18" s="2">
        <v>1294</v>
      </c>
      <c r="BA18" s="2">
        <v>939</v>
      </c>
      <c r="BB18" s="2">
        <v>930</v>
      </c>
      <c r="BC18" s="2">
        <v>619</v>
      </c>
      <c r="BD18" s="2">
        <v>1890</v>
      </c>
      <c r="BE18" s="2">
        <v>1193</v>
      </c>
      <c r="BF18" s="2">
        <v>1022</v>
      </c>
      <c r="BG18" s="2">
        <v>696</v>
      </c>
      <c r="BH18" s="2">
        <v>10430</v>
      </c>
      <c r="BI18" s="2">
        <v>7298</v>
      </c>
      <c r="BJ18" s="2"/>
      <c r="BL18" s="20" t="s">
        <v>56</v>
      </c>
      <c r="BM18" s="25">
        <f t="shared" si="9"/>
        <v>470.85714285714283</v>
      </c>
      <c r="BN18" s="25">
        <f t="shared" si="10"/>
        <v>70.571428571428569</v>
      </c>
      <c r="BO18" s="25">
        <f t="shared" si="11"/>
        <v>76.428571428571431</v>
      </c>
      <c r="BP18" s="25">
        <f t="shared" si="12"/>
        <v>60.571428571428569</v>
      </c>
      <c r="BQ18" s="25">
        <f t="shared" si="13"/>
        <v>101.14285714285714</v>
      </c>
      <c r="BR18" s="25">
        <f t="shared" si="14"/>
        <v>45.714285714285715</v>
      </c>
      <c r="BS18" s="25">
        <f t="shared" si="15"/>
        <v>70.428571428571431</v>
      </c>
      <c r="BT18" s="25">
        <f t="shared" si="0"/>
        <v>46</v>
      </c>
    </row>
    <row r="19" spans="1:72" x14ac:dyDescent="0.25">
      <c r="A19" s="3"/>
      <c r="E19" s="3" t="e">
        <f t="shared" si="16"/>
        <v>#DIV/0!</v>
      </c>
      <c r="G19" s="28"/>
      <c r="H19" s="19" t="s">
        <v>51</v>
      </c>
      <c r="I19" s="2">
        <v>1109</v>
      </c>
      <c r="J19" s="2">
        <v>627</v>
      </c>
      <c r="K19" s="2">
        <v>2345</v>
      </c>
      <c r="L19" s="2">
        <v>1838</v>
      </c>
      <c r="M19" s="2">
        <v>1832</v>
      </c>
      <c r="N19" s="2">
        <v>1350</v>
      </c>
      <c r="O19" s="2">
        <v>1268</v>
      </c>
      <c r="P19" s="2">
        <v>869</v>
      </c>
      <c r="Q19" s="2">
        <v>932</v>
      </c>
      <c r="R19" s="2">
        <v>683</v>
      </c>
      <c r="S19" s="2">
        <v>1873</v>
      </c>
      <c r="T19" s="2">
        <v>1156</v>
      </c>
      <c r="U19" s="2">
        <v>1024</v>
      </c>
      <c r="V19" s="2">
        <v>721</v>
      </c>
      <c r="W19" s="2">
        <v>10383</v>
      </c>
      <c r="X19" s="2">
        <v>7244</v>
      </c>
      <c r="Y19" s="2"/>
      <c r="Z19" s="28"/>
      <c r="AA19" s="20"/>
      <c r="AB19" s="28"/>
      <c r="AC19" s="28"/>
      <c r="AD19" s="28"/>
      <c r="AE19" s="28"/>
      <c r="AF19" s="28"/>
      <c r="AG19" s="28"/>
      <c r="AH19" s="28"/>
      <c r="AI19" s="28"/>
      <c r="AJ19" s="28"/>
      <c r="AK19" s="28"/>
      <c r="AL19" s="20"/>
      <c r="AP19" s="20">
        <f t="shared" si="17"/>
        <v>0</v>
      </c>
      <c r="AQ19" s="20"/>
      <c r="AS19" s="19" t="s">
        <v>51</v>
      </c>
      <c r="AT19" s="2">
        <v>1109</v>
      </c>
      <c r="AU19" s="2">
        <v>627</v>
      </c>
      <c r="AV19" s="2">
        <v>2345</v>
      </c>
      <c r="AW19" s="2">
        <v>1838</v>
      </c>
      <c r="AX19" s="2">
        <v>1832</v>
      </c>
      <c r="AY19" s="2">
        <v>1350</v>
      </c>
      <c r="AZ19" s="2">
        <v>1268</v>
      </c>
      <c r="BA19" s="2">
        <v>869</v>
      </c>
      <c r="BB19" s="2">
        <v>932</v>
      </c>
      <c r="BC19" s="2">
        <v>683</v>
      </c>
      <c r="BD19" s="2">
        <v>1873</v>
      </c>
      <c r="BE19" s="2">
        <v>1156</v>
      </c>
      <c r="BF19" s="2">
        <v>1024</v>
      </c>
      <c r="BG19" s="2">
        <v>721</v>
      </c>
      <c r="BH19" s="2">
        <v>10383</v>
      </c>
      <c r="BI19" s="2">
        <v>7244</v>
      </c>
      <c r="BJ19" s="2"/>
      <c r="BL19" s="20"/>
      <c r="BM19" s="25"/>
      <c r="BN19" s="25"/>
      <c r="BO19" s="25"/>
      <c r="BP19" s="25"/>
      <c r="BQ19" s="25"/>
      <c r="BR19" s="25"/>
      <c r="BS19" s="26"/>
    </row>
    <row r="20" spans="1:72" x14ac:dyDescent="0.25">
      <c r="A20" s="3"/>
      <c r="E20" s="3" t="e">
        <f t="shared" si="16"/>
        <v>#DIV/0!</v>
      </c>
      <c r="H20" s="19" t="s">
        <v>52</v>
      </c>
      <c r="I20" s="2">
        <v>1116</v>
      </c>
      <c r="J20" s="2">
        <v>702</v>
      </c>
      <c r="K20" s="2">
        <v>2338</v>
      </c>
      <c r="L20" s="2">
        <v>1874</v>
      </c>
      <c r="M20" s="2">
        <v>1827</v>
      </c>
      <c r="N20" s="2">
        <v>1346</v>
      </c>
      <c r="O20" s="2">
        <v>1251</v>
      </c>
      <c r="P20" s="2">
        <v>824</v>
      </c>
      <c r="Q20" s="2">
        <v>925</v>
      </c>
      <c r="R20" s="2">
        <v>664</v>
      </c>
      <c r="S20" s="2">
        <v>1863</v>
      </c>
      <c r="T20" s="2">
        <v>1162</v>
      </c>
      <c r="U20" s="2">
        <v>1036</v>
      </c>
      <c r="V20" s="2">
        <v>714</v>
      </c>
      <c r="W20" s="2">
        <v>10356</v>
      </c>
      <c r="X20" s="2">
        <v>7286</v>
      </c>
      <c r="Y20" s="2"/>
      <c r="AL20" s="20"/>
      <c r="AP20" s="20">
        <f t="shared" si="17"/>
        <v>0</v>
      </c>
      <c r="AQ20" s="20"/>
      <c r="AS20" s="19" t="s">
        <v>52</v>
      </c>
      <c r="AT20" s="2">
        <v>1116</v>
      </c>
      <c r="AU20" s="2">
        <v>702</v>
      </c>
      <c r="AV20" s="2">
        <v>2338</v>
      </c>
      <c r="AW20" s="2">
        <v>1874</v>
      </c>
      <c r="AX20" s="2">
        <v>1827</v>
      </c>
      <c r="AY20" s="2">
        <v>1346</v>
      </c>
      <c r="AZ20" s="2">
        <v>1251</v>
      </c>
      <c r="BA20" s="2">
        <v>824</v>
      </c>
      <c r="BB20" s="2">
        <v>925</v>
      </c>
      <c r="BC20" s="2">
        <v>664</v>
      </c>
      <c r="BD20" s="2">
        <v>1863</v>
      </c>
      <c r="BE20" s="2">
        <v>1162</v>
      </c>
      <c r="BF20" s="2">
        <v>1036</v>
      </c>
      <c r="BG20" s="2">
        <v>714</v>
      </c>
      <c r="BH20" s="2">
        <v>10356</v>
      </c>
      <c r="BI20" s="2">
        <v>7286</v>
      </c>
      <c r="BJ20" s="2"/>
    </row>
    <row r="21" spans="1:72" x14ac:dyDescent="0.25">
      <c r="H21" s="19" t="s">
        <v>40</v>
      </c>
      <c r="I21" s="2">
        <v>14737</v>
      </c>
      <c r="J21" s="2">
        <v>8680</v>
      </c>
      <c r="K21" s="2">
        <v>30268</v>
      </c>
      <c r="L21" s="2">
        <v>24717</v>
      </c>
      <c r="M21" s="2">
        <v>24036</v>
      </c>
      <c r="N21" s="2">
        <v>17617</v>
      </c>
      <c r="O21" s="2">
        <v>16542</v>
      </c>
      <c r="P21" s="2">
        <v>11495</v>
      </c>
      <c r="Q21" s="2">
        <v>12073</v>
      </c>
      <c r="R21" s="2">
        <v>8030</v>
      </c>
      <c r="S21" s="2">
        <v>24127</v>
      </c>
      <c r="T21" s="2">
        <v>15444</v>
      </c>
      <c r="U21" s="2">
        <v>13338</v>
      </c>
      <c r="V21" s="2">
        <v>9599</v>
      </c>
      <c r="W21" s="2">
        <v>135121</v>
      </c>
      <c r="X21" s="2">
        <v>95582</v>
      </c>
      <c r="Y21" s="2"/>
      <c r="AS21" s="19" t="s">
        <v>40</v>
      </c>
      <c r="AT21" s="2">
        <v>14737</v>
      </c>
      <c r="AU21" s="2">
        <v>8680</v>
      </c>
      <c r="AV21" s="2">
        <v>30268</v>
      </c>
      <c r="AW21" s="2">
        <v>24717</v>
      </c>
      <c r="AX21" s="2">
        <v>24036</v>
      </c>
      <c r="AY21" s="2">
        <v>17617</v>
      </c>
      <c r="AZ21" s="2">
        <v>16542</v>
      </c>
      <c r="BA21" s="2">
        <v>11495</v>
      </c>
      <c r="BB21" s="2">
        <v>12073</v>
      </c>
      <c r="BC21" s="2">
        <v>8030</v>
      </c>
      <c r="BD21" s="2">
        <v>24127</v>
      </c>
      <c r="BE21" s="2">
        <v>15444</v>
      </c>
      <c r="BF21" s="2">
        <v>13338</v>
      </c>
      <c r="BG21" s="2">
        <v>9599</v>
      </c>
      <c r="BH21" s="2">
        <v>135121</v>
      </c>
      <c r="BI21" s="2">
        <v>95582</v>
      </c>
      <c r="BJ21" s="2"/>
    </row>
  </sheetData>
  <mergeCells count="2">
    <mergeCell ref="AS1:BS1"/>
    <mergeCell ref="H1:AH1"/>
  </mergeCells>
  <pageMargins left="0.7" right="0.7" top="0.75" bottom="0.75" header="0.3" footer="0.3"/>
  <pageSetup paperSize="9"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 W i n t e r   d a i l y   s i t r e p s _ 1 d f 8 1 2 b b - 9 f c 3 - 4 6 7 4 - 8 d 4 1 - 6 0 c 6 7 2 6 a 8 e f 3 < / C u s t o m C o n t e n t > < / G e m i n i > 
</file>

<file path=customXml/item10.xml>��< ? x m l   v e r s i o n = " 1 . 0 "   e n c o d i n g = " U T F - 1 6 " ? > < G e m i n i   x m l n s = " h t t p : / / g e m i n i / p i v o t c u s t o m i z a t i o n / 8 0 9 2 c a 9 8 - d 0 5 5 - 4 0 1 c - 8 5 5 a - 8 7 a 6 5 0 e 1 5 8 9 b " > < 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 C r i t i c a l   c a r e < / S l i c e r S h e e t N a m e > < S A H o s t H a s h > 1 3 6 4 0 5 8 0 6 < / S A H o s t H a s h > < G e m i n i F i e l d L i s t V i s i b l e > T r u e < / G e m i n i F i e l d L i s t V i s i b l e > < / S e t t i n g s > ] ] > < / C u s t o m C o n t e n t > < / G e m i n i > 
</file>

<file path=customXml/item11.xml>��< ? x m l   v e r s i o n = " 1 . 0 "   e n c o d i n g = " U T F - 1 6 " ? > < G e m i n i   x m l n s = " h t t p : / / g e m i n i / p i v o t c u s t o m i z a t i o n / 8 6 0 2 e 9 0 7 - d d c 4 - 4 0 b b - 8 9 c a - 8 3 6 9 d e 9 1 4 b b 2 " > < 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 8 6 2 3 2 1 2 0 5 < / S A H o s t H a s h > < G e m i n i F i e l d L i s t V i s i b l e > F a l s e < / G e m i n i F i e l d L i s t V i s i b l e > < / S e t t i n g s > ] ] > < / C u s t o m C o n t e n t > < / G e m i n i > 
</file>

<file path=customXml/item12.xml>��< ? x m l   v e r s i o n = " 1 . 0 "   e n c o d i n g = " U T F - 1 6 " ? > < G e m i n i   x m l n s = " h t t p : / / g e m i n i / w o r k b o o k c u s t o m i z a t i o n / S a n d b o x N o n E m p t y " > < C u s t o m C o n t e n t > < ! [ C D A T A [ 1 ] ] > < / C u s t o m C o n t e n t > < / G e m i n i > 
</file>

<file path=customXml/item13.xml>��< ? x m l   v e r s i o n = " 1 . 0 "   e n c o d i n g = " U T F - 1 6 " ? > < G e m i n i   x m l n s = " h t t p : / / g e m i n i / w o r k b o o k c u s t o m i z a t i o n / F i e l d L i s t R e f r e s h N e e d e d D i c t i o n a r y " > < C u s t o m C o n t e n t > < ! [ C D A T A [ < D i c t i o n a r y   / > ] ] > < / C u s t o m C o n t e n t > < / G e m i n i > 
</file>

<file path=customXml/item14.xml>��< ? x m l   v e r s i o n = " 1 . 0 "   e n c o d i n g = " U T F - 1 6 " ? > < G e m i n i   x m l n s = " h t t p : / / g e m i n i / p i v o t c u s t o m i z a t i o n / 8 e e d c 9 7 8 - 0 7 e 8 - 4 8 d 8 - 8 1 c 4 - 2 d 3 3 6 5 5 3 a 9 2 f " > < 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 2 4 0 0 9 1 3 1 < / S A H o s t H a s h > < G e m i n i F i e l d L i s t V i s i b l e > T r u e < / G e m i n i F i e l d L i s t V i s i b l e > < / S e t t i n g s > ] ] > < / C u s t o m C o n t e n t > < / G e m i n i > 
</file>

<file path=customXml/item15.xml>��< ? x m l   v e r s i o n = " 1 . 0 "   e n c o d i n g = " U T F - 1 6 " ? > < G e m i n i   x m l n s = " h t t p : / / g e m i n i / p i v o t c u s t o m i z a t i o n / b 8 8 f 8 9 d 5 - 5 5 a 0 - 4 a 8 a - b 4 b 8 - d b 6 a 2 b c 9 9 4 9 d " > < C u s t o m C o n t e n t > < ! [ C D A T A [ < ? x m l   v e r s i o n = " 1 . 0 "   e n c o d i n g = " u t f - 1 6 " ? > < S e t t i n g s > < H S l i c e r s S h a p e > 0 ; 0 ; 0 ; 0 < / H S l i c e r s S h a p e > < V S l i c e r s S h a p e > 0 ; 0 ; 0 ; 0 < / V S l i c e r s S h a p e > < S l i c e r S h e e t N a m e > L o n g   s t a y < / S l i c e r S h e e t N a m e > < S A H o s t H a s h > 1 5 5 6 3 2 6 9 0 1 < / S A H o s t H a s h > < G e m i n i F i e l d L i s t V i s i b l e > T r u e < / G e m i n i F i e l d L i s t V i s i b l e > < / S e t t i n g s > ] ] > < / C u s t o m C o n t e n t > < / G e m i n i > 
</file>

<file path=customXml/item16.xml>��< ? x m l   v e r s i o n = " 1 . 0 "   e n c o d i n g = " U T F - 1 6 " ? > < G e m i n i   x m l n s = " h t t p : / / g e m i n i / p i v o t c u s t o m i z a t i o n / 7 9 8 d 9 c d c - a a f 5 - 4 6 d 1 - a d d 3 - 3 3 5 d 5 5 9 7 e 4 a a " > < C u s t o m C o n t e n t > < ! [ C D A T A [ < ? x m l   v e r s i o n = " 1 . 0 "   e n c o d i n g = " u t f - 1 6 " ? > < S e t t i n g s > < H S l i c e r s S h a p e > 0 ; 0 ; 0 ; 0 < / H S l i c e r s S h a p e > < V S l i c e r s S h a p e > 0 ; 0 ; 0 ; 0 < / V S l i c e r s S h a p e > < S l i c e r S h e e t N a m e > G & a m p ; A   b e d s < / S l i c e r S h e e t N a m e > < S A H o s t H a s h > 2 0 9 2 8 6 5 4 8 < / S A H o s t H a s h > < G e m i n i F i e l d L i s t V i s i b l e > T r u e < / G e m i n i F i e l d L i s t V i s i b l e > < / S e t t i n g s > ] ] > < / C u s t o m C o n t e n t > < / G e m i n i > 
</file>

<file path=customXml/item17.xml>��< ? x m l   v e r s i o n = " 1 . 0 "   e n c o d i n g = " U T F - 1 6 " ? > < G e m i n i   x m l n s = " h t t p : / / g e m i n i / p i v o t c u s t o m i z a t i o n / e d 6 4 2 6 2 9 - 0 1 c e - 4 1 a 1 - 8 9 d c - 5 d c f a 0 2 1 9 d 0 f " > < C u s t o m C o n t e n t > < ! [ C D A T A [ < ? x m l   v e r s i o n = " 1 . 0 "   e n c o d i n g = " u t f - 1 6 " ? > < S e t t i n g s > < C a l c u l a t e d F i e l d s > < i t e m > < M e a s u r e N a m e > S u m   o f   G A   t o t a l   b e d s   a v a i l < / M e a s u r e N a m e > < D i s p l a y N a m e > T o t a l < / D i s p l a y N a m e > < V i s i b l e > T r u e < / V i s i b l e > < / i t e m > < i t e m > < M e a s u r e N a m e > S u m   o f   G A   c o r e   b e d s   a v a i l < / M e a s u r e N a m e > < D i s p l a y N a m e > C o r e < / D i s p l a y N a m e > < V i s i b l e > T r u e < / V i s i b l e > < / i t e m > < i t e m > < M e a s u r e N a m e > S u m   o f   G A   e s c a l a t i o n   b e d s   a v a i l < / M e a s u r e N a m e > < D i s p l a y N a m e > E s c a l a t i o n < / D i s p l a y N a m e > < V i s i b l e > T r u e < / V i s i b l e > < / i t e m > < / C a l c u l a t e d F i e l d s > < H S l i c e r s S h a p e > 0 ; 0 ; 0 ; 0 < / H S l i c e r s S h a p e > < V S l i c e r s S h a p e > 0 ; 0 ; 0 ; 0 < / V S l i c e r s S h a p e > < S l i c e r S h e e t N a m e > G & a m p ; A   b e d   a v a i l . < / S l i c e r S h e e t N a m e > < S A H o s t H a s h > 1 7 5 2 3 3 6 7 4 1 < / S A H o s t H a s h > < G e m i n i F i e l d L i s t V i s i b l e > F a l s e < / G e m i n i F i e l d L i s t V i s i b l e > < / S e t t i n g s > ] ] > < / C u s t o m C o n t e n t > < / G e m i n i > 
</file>

<file path=customXml/item18.xml>��< ? x m l   v e r s i o n = " 1 . 0 "   e n c o d i n g = " U T F - 1 6 " ? > < G e m i n i   x m l n s = " h t t p : / / g e m i n i / p i v o t c u s t o m i z a t i o n / f 3 1 2 5 b e 8 - 0 2 6 8 - 4 a a b - a 2 0 c - 9 3 5 9 a 9 7 f f 2 7 0 " > < 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 9 8 1 8 0 8 8 1 3 < / S A H o s t H a s h > < G e m i n i F i e l d L i s t V i s i b l e > F a l s e < / G e m i n i F i e l d L i s t V i s i b l e > < / S e t t i n g s > ] ] > < / C u s t o m C o n t e n t > < / G e m i n i > 
</file>

<file path=customXml/item19.xml>��< ? x m l   v e r s i o n = " 1 . 0 "   e n c o d i n g = " U T F - 1 6 " ? > < G e m i n i   x m l n s = " h t t p : / / g e m i n i / p i v o t c u s t o m i z a t i o n / 1 6 4 e a 2 6 9 - 9 2 f e - 4 9 b 9 - 9 6 4 6 - b a a b 7 f 3 a 2 0 5 0 " > < C u s t o m C o n t e n t > < ! [ C D A T A [ < ? x m l   v e r s i o n = " 1 . 0 "   e n c o d i n g = " u t f - 1 6 " ? > < S e t t i n g s > < C a l c u l a t e d F i e l d s > < i t e m > < M e a s u r e N a m e > S u m   o f   A m b   a r r i v a l s < / M e a s u r e N a m e > < D i s p l a y N a m e > S u m   o f   A m b   a r r i v a l s < / D i s p l a y N a m e > < V i s i b l e > T r u e < / V i s i b l e > < / i t e m > < / C a l c u l a t e d F i e l d s > < H S l i c e r s S h a p e > 0 ; 0 ; 0 ; 0 < / H S l i c e r s S h a p e > < V S l i c e r s S h a p e > 0 ; 0 ; 0 ; 0 < / V S l i c e r s S h a p e > < S l i c e r S h e e t N a m e > A m b u l a n c e < / S l i c e r S h e e t N a m e > < S A H o s t H a s h > 1 6 2 5 7 5 8 2 0 0 < / S A H o s t H a s h > < G e m i n i F i e l d L i s t V i s i b l e > F a l s e < / G e m i n i F i e l d L i s t V i s i b l e > < / S e t t i n g s > ] ] > < / C u s t o m C o n t e n t > < / G e m i n i > 
</file>

<file path=customXml/item2.xml>��< ? x m l   v e r s i o n = " 1 . 0 "   e n c o d i n g = " U T F - 1 6 " ? > < G e m i n i   x m l n s = " h t t p : / / g e m i n i / p i v o t c u s t o m i z a t i o n / S h o w H i d d e n " > < C u s t o m C o n t e n t > < ! [ C D A T A [ T r u e ] ] > < / C u s t o m C o n t e n t > < / G e m i n i > 
</file>

<file path=customXml/item20.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 i : t y p e = " M e a s u r e D i a g r a m S a n d b o x A d a p t e r " & g t ; & l t ; T a b l e N a m e & g t ; W i n t e r   b e d   o c c   o v e r   1 4   d a y s & l t ; / T a b l e N a m e & g t ; & l t ; / A d a p t e r & g t ; & l t ; D i a g r a m T y p e & g t ; M e a s u r e D i a g r a m & l t ; / D i a g r a m T y p e & g t ; & l t ; D i s p l a y C o n t e x t 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 b e d   o c c   o v e r   1 4   d a y s & l t ; / T a b l e N a m e & g t ; & l t ; / K e y & g t ; & l t ; M a i n t a i n e r 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 B e d s   o c c   o v e r   1 4   d a y s & l t ; / K e y & g t ; & l t ; / D i a g r a m O b j e c t K e y & g t ; & l t ; D i a g r a m O b j e c t K e y & g t ; & l t ; K e y & g t ; M e a s u r e s \ S u m   o f   B e d s   o c c   o v e r   1 4   d a y s \ T a g I n f o \ F o r m u l a & l t ; / K e y & g t ; & l t ; / D i a g r a m O b j e c t K e y & g t ; & l t ; D i a g r a m O b j e c t K e y & g t ; & l t ; K e y & g t ; M e a s u r e s \ S u m   o f   B e d s   o c c   o v e r   1 4   d a y s \ T a g I n f o \ V a l u e & l t ; / K e y & g t ; & l t ; / D i a g r a m O b j e c t K e y & g t ; & l t ; D i a g r a m O b j e c t K e y & g t ; & l t ; K e y & g t ; C o l u m n s \ R e g i o n & l t ; / K e y & g t ; & l t ; / D i a g r a m O b j e c t K e y & g t ; & l t ; D i a g r a m O b j e c t K e y & g t ; & l t ; K e y & g t ; C o l u m n s \ C o d e & l t ; / K e y & g t ; & l t ; / D i a g r a m O b j e c t K e y & g t ; & l t ; D i a g r a m O b j e c t K e y & g t ; & l t ; K e y & g t ; C o l u m n s \ N a m e & l t ; / K e y & g t ; & l t ; / D i a g r a m O b j e c t K e y & g t ; & l t ; D i a g r a m O b j e c t K e y & g t ; & l t ; K e y & g t ; C o l u m n s \ Y e a r & l t ; / K e y & g t ; & l t ; / D i a g r a m O b j e c t K e y & g t ; & l t ; D i a g r a m O b j e c t K e y & g t ; & l t ; K e y & g t ; C o l u m n s \ D a t e & l t ; / K e y & g t ; & l t ; / D i a g r a m O b j e c t K e y & g t ; & l t ; D i a g r a m O b j e c t K e y & g t ; & l t ; K e y & g t ; C o l u m n s \ W e e k & l t ; / K e y & g t ; & l t ; / D i a g r a m O b j e c t K e y & g t ; & l t ; D i a g r a m O b j e c t K e y & g t ; & l t ; K e y & g t ; C o l u m n s \ D a y & l t ; / K e y & g t ; & l t ; / D i a g r a m O b j e c t K e y & g t ; & l t ; D i a g r a m O b j e c t K e y & g t ; & l t ; K e y & g t ; C o l u m n s \ W e e k e n d & l t ; / K e y & g t ; & l t ; / D i a g r a m O b j e c t K e y & g t ; & l t ; D i a g r a m O b j e c t K e y & g t ; & l t ; K e y & g t ; C o l u m n s \ B a n k   h o l i d a y & l t ; / K e y & g t ; & l t ; / D i a g r a m O b j e c t K e y & g t ; & l t ; D i a g r a m O b j e c t K e y & g t ; & l t ; K e y & g t ; C o l u m n s \ A   E   c l o s u r e s & l t ; / K e y & g t ; & l t ; / D i a g r a m O b j e c t K e y & g t ; & l t ; D i a g r a m O b j e c t K e y & g t ; & l t ; K e y & g t ; C o l u m n s \ A   E   d i v e r t s & l t ; / K e y & g t ; & l t ; / D i a g r a m O b j e c t K e y & g t ; & l t ; D i a g r a m O b j e c t K e y & g t ; & l t ; K e y & g t ; C o l u m n s \ G   A   c o r e   b e d s   a v a i l & l t ; / K e y & g t ; & l t ; / D i a g r a m O b j e c t K e y & g t ; & l t ; D i a g r a m O b j e c t K e y & g t ; & l t ; K e y & g t ; C o l u m n s \ G   A   e s c a l a t i o n   b e d s   a v a i l & l t ; / K e y & g t ; & l t ; / D i a g r a m O b j e c t K e y & g t ; & l t ; D i a g r a m O b j e c t K e y & g t ; & l t ; K e y & g t ; C o l u m n s \ G   A   t o t a l   b e d s   a v a i l & l t ; / K e y & g t ; & l t ; / D i a g r a m O b j e c t K e y & g t ; & l t ; D i a g r a m O b j e c t K e y & g t ; & l t ; K e y & g t ; C o l u m n s \ G   A   t o t a l   b e d s   o c c u p i e d & l t ; / K e y & g t ; & l t ; / D i a g r a m O b j e c t K e y & g t ; & l t ; D i a g r a m O b j e c t K e y & g t ; & l t ; K e y & g t ; C o l u m n s \ B e d s   o c c   o v e r   7   d a y s & l t ; / K e y & g t ; & l t ; / D i a g r a m O b j e c t K e y & g t ; & l t ; D i a g r a m O b j e c t K e y & g t ; & l t ; K e y & g t ; C o l u m n s \ B e d s   o c c   o v e r   2 1   d a y s & l t ; / K e y & g t ; & l t ; / D i a g r a m O b j e c t K e y & g t ; & l t ; D i a g r a m O b j e c t K e y & g t ; & l t ; K e y & g t ; C o l u m n s \ B e d s 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 m i n s & l t ; / K e y & g t ; & l t ; / D i a g r a m O b j e c t K e y & g t ; & l t ; D i a g r a m O b j e c t K e y & g t ; & l t ; K e y & g t ; C o l u m n s \ B e d s   o c c   o v e r   1 4   d a y s & l t ; / K e y & g t ; & l t ; / D i a g r a m O b j e c t K e y & g t ; & l t ; D i a g r a m O b j e c t K e y & g t ; & l t ; K e y & g t ; L i n k s \ & a m p ; l t ; C o l u m n s \ S u m   o f   B e d s   o c c   o v e r   1 4   d a y s & a m p ; g t ; - & a m p ; l t ; M e a s u r e s \ B e d s   o c c   o v e r   1 4   d a y s & a m p ; g t ; & l t ; / K e y & g t ; & l t ; / D i a g r a m O b j e c t K e y & g t ; & l t ; D i a g r a m O b j e c t K e y & g t ; & l t ; K e y & g t ; L i n k s \ & a m p ; l t ; C o l u m n s \ S u m   o f   B e d s   o c c   o v e r   1 4   d a y s & a m p ; g t ; - & a m p ; l t ; M e a s u r e s \ B e d s   o c c   o v e r   1 4   d a y s & a m p ; g t ; \ C O L U M N & l t ; / K e y & g t ; & l t ; / D i a g r a m O b j e c t K e y & g t ; & l t ; D i a g r a m O b j e c t K e y & g t ; & l t ; K e y & g t ; L i n k s \ & a m p ; l t ; C o l u m n s \ S u m   o f   B e d s   o c c   o v e r   1 4   d a y s & a m p ; g t ; - & a m p ; l t ; M e a s u r e s \ B e d s   o c c   o v e r   1 4   d a y 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 B e d s   o c c   o v e r   1 4   d a y s & l t ; / K e y & g t ; & l t ; / a : K e y & g t ; & l t ; a : V a l u e   i : t y p e = " M e a s u r e G r i d N o d e V i e w S t a t e " & g t ; & l t ; C o l u m n & g t ; 2 8 & l t ; / C o l u m n & g t ; & l t ; L a y e d O u t & g t ; t r u e & l t ; / L a y e d O u t & g t ; & l t ; W a s U I I n v i s i b l e & g t ; t r u e & l t ; / W a s U I I n v i s i b l e & g t ; & l t ; / a : V a l u e & g t ; & l t ; / a : K e y V a l u e O f D i a g r a m O b j e c t K e y a n y T y p e z b w N T n L X & g t ; & l t ; a : K e y V a l u e O f D i a g r a m O b j e c t K e y a n y T y p e z b w N T n L X & g t ; & l t ; a : K e y & g t ; & l t ; K e y & g t ; M e a s u r e s \ S u m   o f   B e d s   o c c   o v e r   1 4   d a y s \ T a g I n f o \ F o r m u l a & l t ; / K e y & g t ; & l t ; / a : K e y & g t ; & l t ; a : V a l u e   i : t y p e = " M e a s u r e G r i d B a s e V i e w S t a t e \ I D i a g r a m T a g A d d i t i o n a l I n f o " / & g t ; & l t ; / a : K e y V a l u e O f D i a g r a m O b j e c t K e y a n y T y p e z b w N T n L X & g t ; & l t ; a : K e y V a l u e O f D i a g r a m O b j e c t K e y a n y T y p e z b w N T n L X & g t ; & l t ; a : K e y & g t ; & l t ; K e y & g t ; M e a s u r e s \ S u m   o f   B e d s   o c c   o v e r   1 4   d a y s \ T a g I n f o \ V a l u e & l t ; / K e y & g t ; & l t ; / a : K e y & g t ; & l t ; a : V a l u e   i : t y p e = " M e a s u r e G r i d B a s e V i e w S t a t e \ I D i a g r a m T a g A d d i t i o n a l I n f o " / & g t ; & l t ; / a : K e y V a l u e O f D i a g r a m O b j e c t K e y a n y T y p e z b w N T n L X & g t ; & l t ; a : K e y V a l u e O f D i a g r a m O b j e c t K e y a n y T y p e z b w N T n L X & g t ; & l t ; a : K e y & g t ; & l t ; K e y & g t ; C o l u m n s \ R e g i o n & l t ; / K e y & g t ; & l t ; / a : K e y & g t ; & l t ; a : V a l u e   i : t y p e = " M e a s u r e G r i d N o d e V i e w S t a t e " & g t ; & l t ; L a y e d O u t & g t ; t r u e & l t ; / L a y e d O u t & g t ; & l t ; / a : V a l u e & g t ; & l t ; / a : K e y V a l u e O f D i a g r a m O b j e c t K e y a n y T y p e z b w N T n L X & g t ; & l t ; a : K e y V a l u e O f D i a g r a m O b j e c t K e y a n y T y p e z b w N T n L X & g t ; & l t ; a : K e y & g t ; & l t ; K e y & g t ; C o l u m n s \ C o d e & l t ; / K e y & g t ; & l t ; / a : K e y & g t ; & l t ; a : V a l u e   i : t y p e = " M e a s u r e G r i d N o d e V i e w S t a t e " & g t ; & l t ; C o l u m n & g t ; 1 & l t ; / C o l u m n & g t ; & l t ; L a y e d O u t & g t ; t r u e & l t ; / L a y e d O u t & g t ; & l t ; / a : V a l u e & g t ; & l t ; / a : K e y V a l u e O f D i a g r a m O b j e c t K e y a n y T y p e z b w N T n L X & g t ; & l t ; a : K e y V a l u e O f D i a g r a m O b j e c t K e y a n y T y p e z b w N T n L X & g t ; & l t ; a : K e y & g t ; & l t ; K e y & g t ; C o l u m n s \ N a m e & l t ; / K e y & g t ; & l t ; / a : K e y & g t ; & l t ; a : V a l u e   i : t y p e = " M e a s u r e G r i d N o d e V i e w S t a t e " & g t ; & l t ; C o l u m n & g t ; 2 & l t ; / C o l u m n & g t ; & l t ; L a y e d O u t & g t ; t r u e & l t ; / L a y e d O u t & g t ; & l t ; / a : V a l u e & g t ; & l t ; / a : K e y V a l u e O f D i a g r a m O b j e c t K e y a n y T y p e z b w N T n L X & g t ; & l t ; a : K e y V a l u e O f D i a g r a m O b j e c t K e y a n y T y p e z b w N T n L X & g t ; & l t ; a : K e y & g t ; & l t ; K e y & g t ; C o l u m n s \ Y e a r & l t ; / K e y & g t ; & l t ; / a : K e y & g t ; & l t ; a : V a l u e   i : t y p e = " M e a s u r e G r i d N o d e V i e w S t a t e " & g t ; & l t ; C o l u m n & g t ; 3 & l t ; / C o l u m n & g t ; & l t ; L a y e d O u t & g t ; t r u e & l t ; / L a y e d O u t & g t ; & l t ; / a : V a l u e & g t ; & l t ; / a : K e y V a l u e O f D i a g r a m O b j e c t K e y a n y T y p e z b w N T n L X & g t ; & l t ; a : K e y V a l u e O f D i a g r a m O b j e c t K e y a n y T y p e z b w N T n L X & g t ; & l t ; a : K e y & g t ; & l t ; K e y & g t ; C o l u m n s \ D a t e & l t ; / K e y & g t ; & l t ; / a : K e y & g t ; & l t ; a : V a l u e   i : t y p e = " M e a s u r e G r i d N o d e V i e w S t a t e " & g t ; & l t ; C o l u m n & g t ; 4 & l t ; / C o l u m n & g t ; & l t ; L a y e d O u t & g t ; t r u e & l t ; / L a y e d O u t & g t ; & l t ; / a : V a l u e & g t ; & l t ; / a : K e y V a l u e O f D i a g r a m O b j e c t K e y a n y T y p e z b w N T n L X & g t ; & l t ; a : K e y V a l u e O f D i a g r a m O b j e c t K e y a n y T y p e z b w N T n L X & g t ; & l t ; a : K e y & g t ; & l t ; K e y & g t ; C o l u m n s \ W e e k & l t ; / K e y & g t ; & l t ; / a : K e y & g t ; & l t ; a : V a l u e   i : t y p e = " M e a s u r e G r i d N o d e V i e w S t a t e " & g t ; & l t ; C o l u m n & g t ; 5 & l t ; / C o l u m n & g t ; & l t ; L a y e d O u t & g t ; t r u e & l t ; / L a y e d O u t & g t ; & l t ; / a : V a l u e & g t ; & l t ; / a : K e y V a l u e O f D i a g r a m O b j e c t K e y a n y T y p e z b w N T n L X & g t ; & l t ; a : K e y V a l u e O f D i a g r a m O b j e c t K e y a n y T y p e z b w N T n L X & g t ; & l t ; a : K e y & g t ; & l t ; K e y & g t ; C o l u m n s \ D a y & l t ; / K e y & g t ; & l t ; / a : K e y & g t ; & l t ; a : V a l u e   i : t y p e = " M e a s u r e G r i d N o d e V i e w S t a t e " & g t ; & l t ; C o l u m n & g t ; 6 & l t ; / C o l u m n & g t ; & l t ; L a y e d O u t & g t ; t r u e & l t ; / L a y e d O u t & g t ; & l t ; / a : V a l u e & g t ; & l t ; / a : K e y V a l u e O f D i a g r a m O b j e c t K e y a n y T y p e z b w N T n L X & g t ; & l t ; a : K e y V a l u e O f D i a g r a m O b j e c t K e y a n y T y p e z b w N T n L X & g t ; & l t ; a : K e y & g t ; & l t ; K e y & g t ; C o l u m n s \ W e e k e n d & l t ; / K e y & g t ; & l t ; / a : K e y & g t ; & l t ; a : V a l u e   i : t y p e = " M e a s u r e G r i d N o d e V i e w S t a t e " & g t ; & l t ; C o l u m n & g t ; 7 & l t ; / C o l u m n & g t ; & l t ; L a y e d O u t & g t ; t r u e & l t ; / L a y e d O u t & g t ; & l t ; / a : V a l u e & g t ; & l t ; / a : K e y V a l u e O f D i a g r a m O b j e c t K e y a n y T y p e z b w N T n L X & g t ; & l t ; a : K e y V a l u e O f D i a g r a m O b j e c t K e y a n y T y p e z b w N T n L X & g t ; & l t ; a : K e y & g t ; & l t ; K e y & g t ; C o l u m n s \ B a n k   h o l i d a y & l t ; / K e y & g t ; & l t ; / a : K e y & g t ; & l t ; a : V a l u e   i : t y p e = " M e a s u r e G r i d N o d e V i e w S t a t e " & g t ; & l t ; C o l u m n & g t ; 8 & l t ; / C o l u m n & g t ; & l t ; L a y e d O u t & g t ; t r u e & l t ; / L a y e d O u t & g t ; & l t ; / a : V a l u e & g t ; & l t ; / a : K e y V a l u e O f D i a g r a m O b j e c t K e y a n y T y p e z b w N T n L X & g t ; & l t ; a : K e y V a l u e O f D i a g r a m O b j e c t K e y a n y T y p e z b w N T n L X & g t ; & l t ; a : K e y & g t ; & l t ; K e y & g t ; C o l u m n s \ A   E   c l o s u r e s & l t ; / K e y & g t ; & l t ; / a : K e y & g t ; & l t ; a : V a l u e   i : t y p e = " M e a s u r e G r i d N o d e V i e w S t a t e " & g t ; & l t ; C o l u m n & g t ; 9 & l t ; / C o l u m n & g t ; & l t ; L a y e d O u t & g t ; t r u e & l t ; / L a y e d O u t & g t ; & l t ; / a : V a l u e & g t ; & l t ; / a : K e y V a l u e O f D i a g r a m O b j e c t K e y a n y T y p e z b w N T n L X & g t ; & l t ; a : K e y V a l u e O f D i a g r a m O b j e c t K e y a n y T y p e z b w N T n L X & g t ; & l t ; a : K e y & g t ; & l t ; K e y & g t ; C o l u m n s \ A   E   d i v e r t s & l t ; / K e y & g t ; & l t ; / a : K e y & g t ; & l t ; a : V a l u e   i : t y p e = " M e a s u r e G r i d N o d e V i e w S t a t e " & g t ; & l t ; C o l u m n & g t ; 1 0 & l t ; / C o l u m n & g t ; & l t ; L a y e d O u t & g t ; t r u e & l t ; / L a y e d O u t & g t ; & l t ; / a : V a l u e & g t ; & l t ; / a : K e y V a l u e O f D i a g r a m O b j e c t K e y a n y T y p e z b w N T n L X & g t ; & l t ; a : K e y V a l u e O f D i a g r a m O b j e c t K e y a n y T y p e z b w N T n L X & g t ; & l t ; a : K e y & g t ; & l t ; K e y & g t ; C o l u m n s \ G   A   c o r e   b e d s   a v a i l & l t ; / K e y & g t ; & l t ; / a : K e y & g t ; & l t ; a : V a l u e   i : t y p e = " M e a s u r e G r i d N o d e V i e w S t a t e " & g t ; & l t ; C o l u m n & g t ; 1 1 & l t ; / C o l u m n & g t ; & l t ; L a y e d O u t & g t ; t r u e & l t ; / L a y e d O u t & g t ; & l t ; / a : V a l u e & g t ; & l t ; / a : K e y V a l u e O f D i a g r a m O b j e c t K e y a n y T y p e z b w N T n L X & g t ; & l t ; a : K e y V a l u e O f D i a g r a m O b j e c t K e y a n y T y p e z b w N T n L X & g t ; & l t ; a : K e y & g t ; & l t ; K e y & g t ; C o l u m n s \ G   A   e s c a l a t i o n   b e d s   a v a i l & l t ; / K e y & g t ; & l t ; / a : K e y & g t ; & l t ; a : V a l u e   i : t y p e = " M e a s u r e G r i d N o d e V i e w S t a t e " & g t ; & l t ; C o l u m n & g t ; 1 2 & l t ; / C o l u m n & g t ; & l t ; L a y e d O u t & g t ; t r u e & l t ; / L a y e d O u t & g t ; & l t ; / a : V a l u e & g t ; & l t ; / a : K e y V a l u e O f D i a g r a m O b j e c t K e y a n y T y p e z b w N T n L X & g t ; & l t ; a : K e y V a l u e O f D i a g r a m O b j e c t K e y a n y T y p e z b w N T n L X & g t ; & l t ; a : K e y & g t ; & l t ; K e y & g t ; C o l u m n s \ G   A   t o t a l   b e d s   a v a i l & l t ; / K e y & g t ; & l t ; / a : K e y & g t ; & l t ; a : V a l u e   i : t y p e = " M e a s u r e G r i d N o d e V i e w S t a t e " & g t ; & l t ; C o l u m n & g t ; 1 3 & l t ; / C o l u m n & g t ; & l t ; L a y e d O u t & g t ; t r u e & l t ; / L a y e d O u t & g t ; & l t ; / a : V a l u e & g t ; & l t ; / a : K e y V a l u e O f D i a g r a m O b j e c t K e y a n y T y p e z b w N T n L X & g t ; & l t ; a : K e y V a l u e O f D i a g r a m O b j e c t K e y a n y T y p e z b w N T n L X & g t ; & l t ; a : K e y & g t ; & l t ; K e y & g t ; C o l u m n s \ G   A   t o t a l   b e d s   o c c u p i e d & l t ; / K e y & g t ; & l t ; / a : K e y & g t ; & l t ; a : V a l u e   i : t y p e = " M e a s u r e G r i d N o d e V i e w S t a t e " & g t ; & l t ; C o l u m n & g t ; 1 4 & l t ; / C o l u m n & g t ; & l t ; L a y e d O u t & g t ; t r u e & l t ; / L a y e d O u t & g t ; & l t ; / a : V a l u e & g t ; & l t ; / a : K e y V a l u e O f D i a g r a m O b j e c t K e y a n y T y p e z b w N T n L X & g t ; & l t ; a : K e y V a l u e O f D i a g r a m O b j e c t K e y a n y T y p e z b w N T n L X & g t ; & l t ; a : K e y & g t ; & l t ; K e y & g t ; C o l u m n s \ B e d s   o c c   o v e r   7   d a y s & l t ; / K e y & g t ; & l t ; / a : K e y & g t ; & l t ; a : V a l u e   i : t y p e = " M e a s u r e G r i d N o d e V i e w S t a t e " & g t ; & l t ; C o l u m n & g t ; 1 5 & l t ; / C o l u m n & g t ; & l t ; L a y e d O u t & g t ; t r u e & l t ; / L a y e d O u t & g t ; & l t ; / a : V a l u e & g t ; & l t ; / a : K e y V a l u e O f D i a g r a m O b j e c t K e y a n y T y p e z b w N T n L X & g t ; & l t ; a : K e y V a l u e O f D i a g r a m O b j e c t K e y a n y T y p e z b w N T n L X & g t ; & l t ; a : K e y & g t ; & l t ; K e y & g t ; C o l u m n s \ B e d s   o c c   o v e r   2 1   d a y s & l t ; / K e y & g t ; & l t ; / a : K e y & g t ; & l t ; a : V a l u e   i : t y p e = " M e a s u r e G r i d N o d e V i e w S t a t e " & g t ; & l t ; C o l u m n & g t ; 1 6 & l t ; / C o l u m n & g t ; & l t ; L a y e d O u t & g t ; t r u e & l t ; / L a y e d O u t & g t ; & l t ; / a : V a l u e & g t ; & l t ; / a : K e y V a l u e O f D i a g r a m O b j e c t K e y a n y T y p e z b w N T n L X & g t ; & l t ; a : K e y V a l u e O f D i a g r a m O b j e c t K e y a n y T y p e z b w N T n L X & g t ; & l t ; a : K e y & g t ; & l t ; K e y & g t ; C o l u m n s \ B e d s   c l o s e d   n o r o v i r u s & l t ; / K e y & g t ; & l t ; / a : K e y & g t ; & l t ; a : V a l u e   i : t y p e = " M e a s u r e G r i d N o d e V i e w S t a t e " & g t ; & l t ; C o l u m n & g t ; 1 7 & l t ; / C o l u m n & g t ; & l t ; L a y e d O u t & g t ; t r u e & l t ; / L a y e d O u t & g t ; & l t ; / a : V a l u e & g t ; & l t ; / a : K e y V a l u e O f D i a g r a m O b j e c t K e y a n y T y p e z b w N T n L X & g t ; & l t ; a : K e y V a l u e O f D i a g r a m O b j e c t K e y a n y T y p e z b w N T n L X & g t ; & l t ; a : K e y & g t ; & l t ; K e y & g t ; C o l u m n s \ B e d s   c l o s e d   n o r o v i u s   u n o c c & l t ; / K e y & g t ; & l t ; / a : K e y & g t ; & l t ; a : V a l u e   i : t y p e = " M e a s u r e G r i d N o d e V i e w S t a t e " & g t ; & l t ; C o l u m n & g t ; 1 8 & l t ; / C o l u m n & g t ; & l t ; L a y e d O u t & g t ; t r u e & l t ; / L a y e d O u t & g t ; & l t ; / a : V a l u e & g t ; & l t ; / a : K e y V a l u e O f D i a g r a m O b j e c t K e y a n y T y p e z b w N T n L X & g t ; & l t ; a : K e y V a l u e O f D i a g r a m O b j e c t K e y a n y T y p e z b w N T n L X & g t ; & l t ; a : K e y & g t ; & l t ; K e y & g t ; C o l u m n s \ A d u l t   C C   b e d s   a v a i l & l t ; / K e y & g t ; & l t ; / a : K e y & g t ; & l t ; a : V a l u e   i : t y p e = " M e a s u r e G r i d N o d e V i e w S t a t e " & g t ; & l t ; C o l u m n & g t ; 1 9 & l t ; / C o l u m n & g t ; & l t ; L a y e d O u t & g t ; t r u e & l t ; / L a y e d O u t & g t ; & l t ; / a : V a l u e & g t ; & l t ; / a : K e y V a l u e O f D i a g r a m O b j e c t K e y a n y T y p e z b w N T n L X & g t ; & l t ; a : K e y V a l u e O f D i a g r a m O b j e c t K e y a n y T y p e z b w N T n L X & g t ; & l t ; a : K e y & g t ; & l t ; K e y & g t ; C o l u m n s \ A d u l t   C C   b e d s   o c c & l t ; / K e y & g t ; & l t ; / a : K e y & g t ; & l t ; a : V a l u e   i : t y p e = " M e a s u r e G r i d N o d e V i e w S t a t e " & g t ; & l t ; C o l u m n & g t ; 2 0 & l t ; / C o l u m n & g t ; & l t ; L a y e d O u t & g t ; t r u e & l t ; / L a y e d O u t & g t ; & l t ; / a : V a l u e & g t ; & l t ; / a : K e y V a l u e O f D i a g r a m O b j e c t K e y a n y T y p e z b w N T n L X & g t ; & l t ; a : K e y V a l u e O f D i a g r a m O b j e c t K e y a n y T y p e z b w N T n L X & g t ; & l t ; a : K e y & g t ; & l t ; K e y & g t ; C o l u m n s \ P a e d   I n t   C a r e   A v a i l & l t ; / K e y & g t ; & l t ; / a : K e y & g t ; & l t ; a : V a l u e   i : t y p e = " M e a s u r e G r i d N o d e V i e w S t a t e " & g t ; & l t ; C o l u m n & g t ; 2 1 & l t ; / C o l u m n & g t ; & l t ; L a y e d O u t & g t ; t r u e & l t ; / L a y e d O u t & g t ; & l t ; / a : V a l u e & g t ; & l t ; / a : K e y V a l u e O f D i a g r a m O b j e c t K e y a n y T y p e z b w N T n L X & g t ; & l t ; a : K e y V a l u e O f D i a g r a m O b j e c t K e y a n y T y p e z b w N T n L X & g t ; & l t ; a : K e y & g t ; & l t ; K e y & g t ; C o l u m n s \ P a e d   I n t   C a r e   O c c & l t ; / K e y & g t ; & l t ; / a : K e y & g t ; & l t ; a : V a l u e   i : t y p e = " M e a s u r e G r i d N o d e V i e w S t a t e " & g t ; & l t ; C o l u m n & g t ; 2 2 & l t ; / C o l u m n & g t ; & l t ; L a y e d O u t & g t ; t r u e & l t ; / L a y e d O u t & g t ; & l t ; / a : V a l u e & g t ; & l t ; / a : K e y V a l u e O f D i a g r a m O b j e c t K e y a n y T y p e z b w N T n L X & g t ; & l t ; a : K e y V a l u e O f D i a g r a m O b j e c t K e y a n y T y p e z b w N T n L X & g t ; & l t ; a : K e y & g t ; & l t ; K e y & g t ; C o l u m n s \ N e o   I n t   C a r e   A v a i l & l t ; / K e y & g t ; & l t ; / a : K e y & g t ; & l t ; a : V a l u e   i : t y p e = " M e a s u r e G r i d N o d e V i e w S t a t e " & g t ; & l t ; C o l u m n & g t ; 2 3 & l t ; / C o l u m n & g t ; & l t ; L a y e d O u t & g t ; t r u e & l t ; / L a y e d O u t & g t ; & l t ; / a : V a l u e & g t ; & l t ; / a : K e y V a l u e O f D i a g r a m O b j e c t K e y a n y T y p e z b w N T n L X & g t ; & l t ; a : K e y V a l u e O f D i a g r a m O b j e c t K e y a n y T y p e z b w N T n L X & g t ; & l t ; a : K e y & g t ; & l t ; K e y & g t ; C o l u m n s \ N e o   I n t   C a r e   o c c & l t ; / K e y & g t ; & l t ; / a : K e y & g t ; & l t ; a : V a l u e   i : t y p e = " M e a s u r e G r i d N o d e V i e w S t a t e " & g t ; & l t ; C o l u m n & g t ; 2 4 & l t ; / C o l u m n & g t ; & l t ; L a y e d O u t & g t ; t r u e & l t ; / L a y e d O u t & g t ; & l t ; / a : V a l u e & g t ; & l t ; / a : K e y V a l u e O f D i a g r a m O b j e c t K e y a n y T y p e z b w N T n L X & g t ; & l t ; a : K e y V a l u e O f D i a g r a m O b j e c t K e y a n y T y p e z b w N T n L X & g t ; & l t ; a : K e y & g t ; & l t ; K e y & g t ; C o l u m n s \ A m b   a r r i v a l s & l t ; / K e y & g t ; & l t ; / a : K e y & g t ; & l t ; a : V a l u e   i : t y p e = " M e a s u r e G r i d N o d e V i e w S t a t e " & g t ; & l t ; C o l u m n & g t ; 2 5 & l t ; / C o l u m n & g t ; & l t ; L a y e d O u t & g t ; t r u e & l t ; / L a y e d O u t & g t ; & l t ; / a : V a l u e & g t ; & l t ; / a : K e y V a l u e O f D i a g r a m O b j e c t K e y a n y T y p e z b w N T n L X & g t ; & l t ; a : K e y V a l u e O f D i a g r a m O b j e c t K e y a n y T y p e z b w N T n L X & g t ; & l t ; a : K e y & g t ; & l t ; K e y & g t ; C o l u m n s \ A m b   d e l a y s   3 0 - 6 0   m i n s & l t ; / K e y & g t ; & l t ; / a : K e y & g t ; & l t ; a : V a l u e   i : t y p e = " M e a s u r e G r i d N o d e V i e w S t a t e " & g t ; & l t ; C o l u m n & g t ; 2 6 & l t ; / C o l u m n & g t ; & l t ; L a y e d O u t & g t ; t r u e & l t ; / L a y e d O u t & g t ; & l t ; / a : V a l u e & g t ; & l t ; / a : K e y V a l u e O f D i a g r a m O b j e c t K e y a n y T y p e z b w N T n L X & g t ; & l t ; a : K e y V a l u e O f D i a g r a m O b j e c t K e y a n y T y p e z b w N T n L X & g t ; & l t ; a : K e y & g t ; & l t ; K e y & g t ; C o l u m n s \ A m b   d e l a y s   o v e r   6 0   m i n s & l t ; / K e y & g t ; & l t ; / a : K e y & g t ; & l t ; a : V a l u e   i : t y p e = " M e a s u r e G r i d N o d e V i e w S t a t e " & g t ; & l t ; C o l u m n & g t ; 2 7 & l t ; / C o l u m n & g t ; & l t ; L a y e d O u t & g t ; t r u e & l t ; / L a y e d O u t & g t ; & l t ; / a : V a l u e & g t ; & l t ; / a : K e y V a l u e O f D i a g r a m O b j e c t K e y a n y T y p e z b w N T n L X & g t ; & l t ; a : K e y V a l u e O f D i a g r a m O b j e c t K e y a n y T y p e z b w N T n L X & g t ; & l t ; a : K e y & g t ; & l t ; K e y & g t ; C o l u m n s \ B e d s   o c c   o v e r   1 4   d a y s & l t ; / K e y & g t ; & l t ; / a : K e y & g t ; & l t ; a : V a l u e   i : t y p e = " M e a s u r e G r i d N o d e V i e w S t a t e " & g t ; & l t ; C o l u m n & g t ; 2 8 & l t ; / C o l u m n & g t ; & l t ; L a y e d O u t & g t ; t r u e & l t ; / L a y e d O u t & g t ; & l t ; / a : V a l u e & g t ; & l t ; / a : K e y V a l u e O f D i a g r a m O b j e c t K e y a n y T y p e z b w N T n L X & g t ; & l t ; a : K e y V a l u e O f D i a g r a m O b j e c t K e y a n y T y p e z b w N T n L X & g t ; & l t ; a : K e y & g t ; & l t ; K e y & g t ; L i n k s \ & a m p ; l t ; C o l u m n s \ S u m   o f   B e d s   o c c   o v e r   1 4   d a y s & a m p ; g t ; - & a m p ; l t ; M e a s u r e s \ B e d s   o c c   o v e r   1 4   d a y s & a m p ; g t ; & l t ; / K e y & g t ; & l t ; / a : K e y & g t ; & l t ; a : V a l u e   i : t y p e = " M e a s u r e G r i d B a s e V i e w S t a t e \ I D i a g r a m L i n k " / & g t ; & l t ; / a : K e y V a l u e O f D i a g r a m O b j e c t K e y a n y T y p e z b w N T n L X & g t ; & l t ; a : K e y V a l u e O f D i a g r a m O b j e c t K e y a n y T y p e z b w N T n L X & g t ; & l t ; a : K e y & g t ; & l t ; K e y & g t ; L i n k s \ & a m p ; l t ; C o l u m n s \ S u m   o f   B e d s   o c c   o v e r   1 4   d a y s & a m p ; g t ; - & a m p ; l t ; M e a s u r e s \ B e d s   o c c   o v e r   1 4   d a y s & a m p ; g t ; \ C O L U M N & l t ; / K e y & g t ; & l t ; / a : K e y & g t ; & l t ; a : V a l u e   i : t y p e = " M e a s u r e G r i d B a s e V i e w S t a t e \ I D i a g r a m L i n k E n d p o i n t " / & g t ; & l t ; / a : K e y V a l u e O f D i a g r a m O b j e c t K e y a n y T y p e z b w N T n L X & g t ; & l t ; a : K e y V a l u e O f D i a g r a m O b j e c t K e y a n y T y p e z b w N T n L X & g t ; & l t ; a : K e y & g t ; & l t ; K e y & g t ; L i n k s \ & a m p ; l t ; C o l u m n s \ S u m   o f   B e d s   o c c   o v e r   1 4   d a y s & a m p ; g t ; - & a m p ; l t ; M e a s u r e s \ B e d s   o c c   o v e r   1 4   d a y s & a m p ; g t ; \ M E A S U R E & l t ; / K e y & g t ; & l t ; / a : K e y & g t ; & l t ; a : V a l u e   i : t y p e = " M e a s u r e G r i d B a s e V i e w S t a t e \ I D i a g r a m L i n k E n d p o i n t " / & 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 T a g s \ T a b l e s \ & a m p ; l t ; T a b l e s \ W i n t e r   d a i l y   s i t r e p s & a m p ; g t ; & l t ; / K e y & g t ; & l t ; / D i a g r a m O b j e c t K e y & g t ; & l t ; D i a g r a m O b j e c t K e y & g t ; & l t ; K e y & g t ; D y n a m i c   T a g s \ T a b l e s \ & a m p ; l t ; T a b l e s \ W i n t e r   b e d   o c c   o v e r   1 4   d a y s & a m p ; g t ; & l t ; / K e y & g t ; & l t ; / D i a g r a m O b j e c t K e y & g t ; & l t ; D i a g r a m O b j e c t K e y & g t ; & l t ; K e y & g t ; T a b l e s \ W i n t e r   d a i l y   s i t r e p s & l t ; / K e y & g t ; & l t ; / D i a g r a m O b j e c t K e y & g t ; & l t ; D i a g r a m O b j e c t K e y & g t ; & l t ; K e y & g t ; T a b l e s \ W i n t e r   d a i l y   s i t r e p s \ C o l u m n s \ I D & l t ; / K e y & g t ; & l t ; / D i a g r a m O b j e c t K e y & g t ; & l t ; D i a g r a m O b j e c t K e y & g t ; & l t ; K e y & g t ; T a b l e s \ W i n t e r   d a i l y   s i t r e p s \ C o l u m n s \ c r i _ i d & l t ; / K e y & g t ; & l t ; / D i a g r a m O b j e c t K e y & g t ; & l t ; D i a g r a m O b j e c t K e y & g t ; & l t ; K e y & g t ; T a b l e s \ W i n t e r   d a i l y   s i t r e p s \ C o l u m n s \ d r _ i d & l t ; / K e y & g t ; & l t ; / D i a g r a m O b j e c t K e y & g t ; & l t ; D i a g r a m O b j e c t K e y & g t ; & l t ; K e y & g t ; T a b l e s \ W i n t e r   d a i l y   s i t r e p s \ C o l u m n s \ o r g _ i d & l t ; / K e y & g t ; & l t ; / D i a g r a m O b j e c t K e y & g t ; & l t ; D i a g r a m O b j e c t K e y & g t ; & l t ; K e y & g t ; T a b l e s \ W i n t e r   d a i l y   s i t r e p s \ C o l u m n s \ c r i _ d a t a p e r i o d s t a r t & l t ; / K e y & g t ; & l t ; / D i a g r a m O b j e c t K e y & g t ; & l t ; D i a g r a m O b j e c t K e y & g t ; & l t ; K e y & g t ; T a b l e s \ W i n t e r   d a i l y   s i t r e p s \ C o l u m n s \ C o d e & l t ; / K e y & g t ; & l t ; / D i a g r a m O b j e c t K e y & g t ; & l t ; D i a g r a m O b j e c t K e y & g t ; & l t ; K e y & g t ; T a b l e s \ W i n t e r   d a i l y   s i t r e p s \ C o l u m n s \ N a m e & l t ; / K e y & g t ; & l t ; / D i a g r a m O b j e c t K e y & g t ; & l t ; D i a g r a m O b j e c t K e y & g t ; & l t ; K e y & g t ; T a b l e s \ W i n t e r   d a i l y   s i t r e p s \ C o l u m n s \ D a t e & l t ; / K e y & g t ; & l t ; / D i a g r a m O b j e c t K e y & g t ; & l t ; D i a g r a m O b j e c t K e y & g t ; & l t ; K e y & g t ; T a b l e s \ W i n t e r   d a i l y   s i t r e p s \ C o l u m n s \ W e e k & l t ; / K e y & g t ; & l t ; / D i a g r a m O b j e c t K e y & g t ; & l t ; D i a g r a m O b j e c t K e y & g t ; & l t ; K e y & g t ; T a b l e s \ W i n t e r   d a i l y   s i t r e p s \ C o l u m n s \ D a y & l t ; / K e y & g t ; & l t ; / D i a g r a m O b j e c t K e y & g t ; & l t ; D i a g r a m O b j e c t K e y & g t ; & l t ; K e y & g t ; T a b l e s \ W i n t e r   d a i l y   s i t r e p s \ C o l u m n s \ B a n k   h o l i d a y & l t ; / K e y & g t ; & l t ; / D i a g r a m O b j e c t K e y & g t ; & l t ; D i a g r a m O b j e c t K e y & g t ; & l t ; K e y & g t ; T a b l e s \ W i n t e r   d a i l y   s i t r e p s \ C o l u m n s \ A E   c l o s u r e s & l t ; / K e y & g t ; & l t ; / D i a g r a m O b j e c t K e y & g t ; & l t ; D i a g r a m O b j e c t K e y & g t ; & l t ; K e y & g t ; T a b l e s \ W i n t e r   d a i l y   s i t r e p s \ C o l u m n s \ A E   d i v e r t s & l t ; / K e y & g t ; & l t ; / D i a g r a m O b j e c t K e y & g t ; & l t ; D i a g r a m O b j e c t K e y & g t ; & l t ; K e y & g t ; T a b l e s \ W i n t e r   d a i l y   s i t r e p s \ C o l u m n s \ A E   t y p e   1   a t t e n d a n c e s & l t ; / K e y & g t ; & l t ; / D i a g r a m O b j e c t K e y & g t ; & l t ; D i a g r a m O b j e c t K e y & g t ; & l t ; K e y & g t ; T a b l e s \ W i n t e r   d a i l y   s i t r e p s \ C o l u m n s \ A E   t y p e   2   a t t e n d a n c e s & l t ; / K e y & g t ; & l t ; / D i a g r a m O b j e c t K e y & g t ; & l t ; D i a g r a m O b j e c t K e y & g t ; & l t ; K e y & g t ; T a b l e s \ W i n t e r   d a i l y   s i t r e p s \ C o l u m n s \ A E   t y p e   3   a t t e n d a n c e s & l t ; / K e y & g t ; & l t ; / D i a g r a m O b j e c t K e y & g t ; & l t ; D i a g r a m O b j e c t K e y & g t ; & l t ; K e y & g t ; T a b l e s \ W i n t e r   d a i l y   s i t r e p s \ C o l u m n s \ A E   t o t a l   a t t e n d a n c e s & l t ; / K e y & g t ; & l t ; / D i a g r a m O b j e c t K e y & g t ; & l t ; D i a g r a m O b j e c t K e y & g t ; & l t ; K e y & g t ; T a b l e s \ W i n t e r   d a i l y   s i t r e p s \ C o l u m n s \ E m e r g e n c y   a d m i s s i o n s & l t ; / K e y & g t ; & l t ; / D i a g r a m O b j e c t K e y & g t ; & l t ; D i a g r a m O b j e c t K e y & g t ; & l t ; K e y & g t ; T a b l e s \ W i n t e r   d a i l y   s i t r e p s \ C o l u m n s \ G A   c o r e   b e d s   a v a i l & l t ; / K e y & g t ; & l t ; / D i a g r a m O b j e c t K e y & g t ; & l t ; D i a g r a m O b j e c t K e y & g t ; & l t ; K e y & g t ; T a b l e s \ W i n t e r   d a i l y   s i t r e p s \ C o l u m n s \ G A   e s c a l a t i o n   b e d s   a v a i l & l t ; / K e y & g t ; & l t ; / D i a g r a m O b j e c t K e y & g t ; & l t ; D i a g r a m O b j e c t K e y & g t ; & l t ; K e y & g t ; T a b l e s \ W i n t e r   d a i l y   s i t r e p s \ C o l u m n s \ G A   t o t a l   b e d s   a v a i l & l t ; / K e y & g t ; & l t ; / D i a g r a m O b j e c t K e y & g t ; & l t ; D i a g r a m O b j e c t K e y & g t ; & l t ; K e y & g t ; T a b l e s \ W i n t e r   d a i l y   s i t r e p s \ C o l u m n s \ G A   t o t a l   b e d s   o c c u p i e d & l t ; / K e y & g t ; & l t ; / D i a g r a m O b j e c t K e y & g t ; & l t ; D i a g r a m O b j e c t K e y & g t ; & l t ; K e y & g t ; T a b l e s \ W i n t e r   d a i l y   s i t r e p s \ C o l u m n s \ B e d s   c l o s e d   n o r o v i r u s & l t ; / K e y & g t ; & l t ; / D i a g r a m O b j e c t K e y & g t ; & l t ; D i a g r a m O b j e c t K e y & g t ; & l t ; K e y & g t ; T a b l e s \ W i n t e r   d a i l y   s i t r e p s \ C o l u m n s \ B e d s   c l o s e d   n o r o v i u s   u n o c c & l t ; / K e y & g t ; & l t ; / D i a g r a m O b j e c t K e y & g t ; & l t ; D i a g r a m O b j e c t K e y & g t ; & l t ; K e y & g t ; T a b l e s \ W i n t e r   d a i l y   s i t r e p s \ C o l u m n s \ A d u l t   C C   b e d s   a v a i l & l t ; / K e y & g t ; & l t ; / D i a g r a m O b j e c t K e y & g t ; & l t ; D i a g r a m O b j e c t K e y & g t ; & l t ; K e y & g t ; T a b l e s \ W i n t e r   d a i l y   s i t r e p s \ C o l u m n s \ A d u l t   C C   b e d s   o c c & l t ; / K e y & g t ; & l t ; / D i a g r a m O b j e c t K e y & g t ; & l t ; D i a g r a m O b j e c t K e y & g t ; & l t ; K e y & g t ; T a b l e s \ W i n t e r   d a i l y   s i t r e p s \ C o l u m n s \ P a e d   I n t   C a r e   A v a i l & l t ; / K e y & g t ; & l t ; / D i a g r a m O b j e c t K e y & g t ; & l t ; D i a g r a m O b j e c t K e y & g t ; & l t ; K e y & g t ; T a b l e s \ W i n t e r   d a i l y   s i t r e p s \ C o l u m n s \ P a e d   I n t   C a r e   O c c & l t ; / K e y & g t ; & l t ; / D i a g r a m O b j e c t K e y & g t ; & l t ; D i a g r a m O b j e c t K e y & g t ; & l t ; K e y & g t ; T a b l e s \ W i n t e r   d a i l y   s i t r e p s \ C o l u m n s \ N e o   I n t   C a r e   A v a i l & l t ; / K e y & g t ; & l t ; / D i a g r a m O b j e c t K e y & g t ; & l t ; D i a g r a m O b j e c t K e y & g t ; & l t ; K e y & g t ; T a b l e s \ W i n t e r   d a i l y   s i t r e p s \ C o l u m n s \ N e o   I n t   C a r e   o c c & l t ; / K e y & g t ; & l t ; / D i a g r a m O b j e c t K e y & g t ; & l t ; D i a g r a m O b j e c t K e y & g t ; & l t ; K e y & g t ; T a b l e s \ W i n t e r   d a i l y   s i t r e p s \ C o l u m n s \ O P E L   3   o r   a b o v e & l t ; / K e y & g t ; & l t ; / D i a g r a m O b j e c t K e y & g t ; & l t ; D i a g r a m O b j e c t K e y & g t ; & l t ; K e y & g t ; T a b l e s \ W i n t e r   d a i l y   s i t r e p s \ C o l u m n s \ W e e k e n d & l t ; / K e y & g t ; & l t ; / D i a g r a m O b j e c t K e y & g t ; & l t ; D i a g r a m O b j e c t K e y & g t ; & l t ; K e y & g t ; T a b l e s \ W i n t e r   d a i l y   s i t r e p s \ C o l u m n s \ R e g i o n & l t ; / K e y & g t ; & l t ; / D i a g r a m O b j e c t K e y & g t ; & l t ; D i a g r a m O b j e c t K e y & g t ; & l t ; K e y & g t ; T a b l e s \ W i n t e r   d a i l y   s i t r e p s \ C o l u m n s \ Y e a r & l t ; / K e y & g t ; & l t ; / D i a g r a m O b j e c t K e y & g t ; & l t ; D i a g r a m O b j e c t K e y & g t ; & l t ; K e y & g t ; T a b l e s \ W i n t e r   d a i l y   s i t r e p s \ C o l u m n s \ B e d s   o c c   o v e r   7   d a y s & l t ; / K e y & g t ; & l t ; / D i a g r a m O b j e c t K e y & g t ; & l t ; D i a g r a m O b j e c t K e y & g t ; & l t ; K e y & g t ; T a b l e s \ W i n t e r   d a i l y   s i t r e p s \ C o l u m n s \ B e d s   o c c   o v e r   2 1   d a y s & l t ; / K e y & g t ; & l t ; / D i a g r a m O b j e c t K e y & g t ; & l t ; D i a g r a m O b j e c t K e y & g t ; & l t ; K e y & g t ; T a b l e s \ W i n t e r   d a i l y   s i t r e p s \ C o l u m n s \ A m b   a r r i v a l s & l t ; / K e y & g t ; & l t ; / D i a g r a m O b j e c t K e y & g t ; & l t ; D i a g r a m O b j e c t K e y & g t ; & l t ; K e y & g t ; T a b l e s \ W i n t e r   d a i l y   s i t r e p s \ C o l u m n s \ A m b   d e l a y s   3 0 - 6 0   m i n s & l t ; / K e y & g t ; & l t ; / D i a g r a m O b j e c t K e y & g t ; & l t ; D i a g r a m O b j e c t K e y & g t ; & l t ; K e y & g t ; T a b l e s \ W i n t e r   d a i l y   s i t r e p s \ C o l u m n s \ A m b   d e l a y s   o v e r   6 0   m i n s & l t ; / K e y & g t ; & l t ; / D i a g r a m O b j e c t K e y & g t ; & l t ; D i a g r a m O b j e c t K e y & g t ; & l t ; K e y & g t ; T a b l e s \ W i n t e r   d a i l y   s i t r e p s \ C o l u m n s \ W e e k   l o n g & l t ; / K e y & g t ; & l t ; / D i a g r a m O b j e c t K e y & g t ; & l t ; D i a g r a m O b j e c t K e y & g t ; & l t ; K e y & g t ; T a b l e s \ W i n t e r   d a i l y   s i t r e p s \ C o l u m n s \ G A   b e d   o c c u p a n c y & l t ; / K e y & g t ; & l t ; / D i a g r a m O b j e c t K e y & g t ; & l t ; D i a g r a m O b j e c t K e y & g t ; & l t ; K e y & g t ; T a b l e s \ W i n t e r   d a i l y   s i t r e p s \ C o l u m n s \ B e d s   o c c   o v e r   1 4   d a y s & l t ; / K e y & g t ; & l t ; / D i a g r a m O b j e c t K e y & g t ; & l t ; D i a g r a m O b j e c t K e y & g t ; & l t ; K e y & g t ; T a b l e s \ W i n t e r   d a i l y   s i t r e p s \ M e a s u r e s \ S u m   o f   A E   d i v e r t s & l t ; / K e y & g t ; & l t ; / D i a g r a m O b j e c t K e y & g t ; & l t ; D i a g r a m O b j e c t K e y & g t ; & l t ; K e y & g t ; T a b l e s \ W i n t e r   d a i l y   s i t r e p s \ S u m   o f   A E   d i v e r t s \ A d d i t i o n a l   I n f o \ I m p l i c i t   M e a s u r e & l t ; / K e y & g t ; & l t ; / D i a g r a m O b j e c t K e y & g t ; & l t ; D i a g r a m O b j e c t K e y & g t ; & l t ; K e y & g t ; T a b l e s \ W i n t e r   d a i l y   s i t r e p s \ M e a s u r e s \ S u m   o f   G A   t o t a l   b e d s   o c c u p i e d & l t ; / K e y & g t ; & l t ; / D i a g r a m O b j e c t K e y & g t ; & l t ; D i a g r a m O b j e c t K e y & g t ; & l t ; K e y & g t ; T a b l e s \ W i n t e r   d a i l y   s i t r e p s \ S u m   o f   G A   t o t a l   b e d s   o c c u p i e d \ A d d i t i o n a l   I n f o \ I m p l i c i t   M e a s u r e & l t ; / K e y & g t ; & l t ; / D i a g r a m O b j e c t K e y & g t ; & l t ; D i a g r a m O b j e c t K e y & g t ; & l t ; K e y & g t ; T a b l e s \ W i n t e r   d a i l y   s i t r e p s \ M e a s u r e s \ A v e r a g e   o f   G A   t o t a l   b e d s   o c c u p i e d & l t ; / K e y & g t ; & l t ; / D i a g r a m O b j e c t K e y & g t ; & l t ; D i a g r a m O b j e c t K e y & g t ; & l t ; K e y & g t ; T a b l e s \ W i n t e r   d a i l y   s i t r e p s \ A v e r a g e   o f   G A   t o t a l   b e d s   o c c u p i e d \ A d d i t i o n a l   I n f o \ I m p l i c i t   M e a s u r e & l t ; / K e y & g t ; & l t ; / D i a g r a m O b j e c t K e y & g t ; & l t ; D i a g r a m O b j e c t K e y & g t ; & l t ; K e y & g t ; T a b l e s \ W i n t e r   d a i l y   s i t r e p s \ M e a s u r e s \ S u m   o f   G A   t o t a l   b e d s   a v a i l & l t ; / K e y & g t ; & l t ; / D i a g r a m O b j e c t K e y & g t ; & l t ; D i a g r a m O b j e c t K e y & g t ; & l t ; K e y & g t ; T a b l e s \ W i n t e r   d a i l y   s i t r e p s \ S u m   o f   G A   t o t a l   b e d s   a v a i l \ A d d i t i o n a l   I n f o \ I m p l i c i t   M e a s u r e & l t ; / K e y & g t ; & l t ; / D i a g r a m O b j e c t K e y & g t ; & l t ; D i a g r a m O b j e c t K e y & g t ; & l t ; K e y & g t ; T a b l e s \ W i n t e r   d a i l y   s i t r e p s \ M e a s u r e s \ S u m   o f   B e d s   o c c   o v e r   7   d a y s & l t ; / K e y & g t ; & l t ; / D i a g r a m O b j e c t K e y & g t ; & l t ; D i a g r a m O b j e c t K e y & g t ; & l t ; K e y & g t ; T a b l e s \ W i n t e r   d a i l y   s i t r e p s \ S u m   o f   B e d s   o c c   o v e r   7   d a y s \ A d d i t i o n a l   I n f o \ I m p l i c i t   M e a s u r e & l t ; / K e y & g t ; & l t ; / D i a g r a m O b j e c t K e y & g t ; & l t ; D i a g r a m O b j e c t K e y & g t ; & l t ; K e y & g t ; T a b l e s \ W i n t e r   d a i l y   s i t r e p s \ M e a s u r e s \ S u m   o f   B e d s   o c c   o v e r   2 1   d a y s & l t ; / K e y & g t ; & l t ; / D i a g r a m O b j e c t K e y & g t ; & l t ; D i a g r a m O b j e c t K e y & g t ; & l t ; K e y & g t ; T a b l e s \ W i n t e r   d a i l y   s i t r e p s \ S u m   o f   B e d s   o c c   o v e r   2 1   d a y s \ A d d i t i o n a l   I n f o \ I m p l i c i t   M e a s u r e & l t ; / K e y & g t ; & l t ; / D i a g r a m O b j e c t K e y & g t ; & l t ; D i a g r a m O b j e c t K e y & g t ; & l t ; K e y & g t ; T a b l e s \ W i n t e r   d a i l y   s i t r e p s \ M e a s u r e s \ A v e r a g e   o f   B e d s   o c c   o v e r   2 1   d a y s & l t ; / K e y & g t ; & l t ; / D i a g r a m O b j e c t K e y & g t ; & l t ; D i a g r a m O b j e c t K e y & g t ; & l t ; K e y & g t ; T a b l e s \ W i n t e r   d a i l y   s i t r e p s \ A v e r a g e   o f   B e d s   o c c   o v e r   2 1   d a y s \ A d d i t i o n a l   I n f o \ I m p l i c i t   M e a s u r e & l t ; / K e y & g t ; & l t ; / D i a g r a m O b j e c t K e y & g t ; & l t ; D i a g r a m O b j e c t K e y & g t ; & l t ; K e y & g t ; T a b l e s \ W i n t e r   d a i l y   s i t r e p s \ M e a s u r e s \ S u m   o f   B e d s   c l o s e d   n o r o v i r u s & l t ; / K e y & g t ; & l t ; / D i a g r a m O b j e c t K e y & g t ; & l t ; D i a g r a m O b j e c t K e y & g t ; & l t ; K e y & g t ; T a b l e s \ W i n t e r   d a i l y   s i t r e p s \ S u m   o f   B e d s   c l o s e d   n o r o v i r u s \ A d d i t i o n a l   I n f o \ I m p l i c i t   M e a s u r e & l t ; / K e y & g t ; & l t ; / D i a g r a m O b j e c t K e y & g t ; & l t ; D i a g r a m O b j e c t K e y & g t ; & l t ; K e y & g t ; T a b l e s \ W i n t e r   d a i l y   s i t r e p s \ M e a s u r e s \ A v e r a g e   o f   B e d s   c l o s e d   n o r o v i r u s & l t ; / K e y & g t ; & l t ; / D i a g r a m O b j e c t K e y & g t ; & l t ; D i a g r a m O b j e c t K e y & g t ; & l t ; K e y & g t ; T a b l e s \ W i n t e r   d a i l y   s i t r e p s \ A v e r a g e   o f   B e d s   c l o s e d   n o r o v i r u s \ A d d i t i o n a l   I n f o \ I m p l i c i t   M e a s u r e & l t ; / K e y & g t ; & l t ; / D i a g r a m O b j e c t K e y & g t ; & l t ; D i a g r a m O b j e c t K e y & g t ; & l t ; K e y & g t ; T a b l e s \ W i n t e r   d a i l y   s i t r e p s \ M e a s u r e s \ S u m   o f   B e d s   c l o s e d   n o r o v i u s   u n o c c & l t ; / K e y & g t ; & l t ; / D i a g r a m O b j e c t K e y & g t ; & l t ; D i a g r a m O b j e c t K e y & g t ; & l t ; K e y & g t ; T a b l e s \ W i n t e r   d a i l y   s i t r e p s \ S u m   o f   B e d s   c l o s e d   n o r o v i u s   u n o c c \ A d d i t i o n a l   I n f o \ I m p l i c i t   M e a s u r e & l t ; / K e y & g t ; & l t ; / D i a g r a m O b j e c t K e y & g t ; & l t ; D i a g r a m O b j e c t K e y & g t ; & l t ; K e y & g t ; T a b l e s \ W i n t e r   d a i l y   s i t r e p s \ M e a s u r e s \ S u m   o f   A m b   a r r i v a l s & l t ; / K e y & g t ; & l t ; / D i a g r a m O b j e c t K e y & g t ; & l t ; D i a g r a m O b j e c t K e y & g t ; & l t ; K e y & g t ; T a b l e s \ W i n t e r   d a i l y   s i t r e p s \ S u m   o f   A m b   a r r i v a l s \ A d d i t i o n a l   I n f o \ I m p l i c i t   M e a s u r e & l t ; / K e y & g t ; & l t ; / D i a g r a m O b j e c t K e y & g t ; & l t ; D i a g r a m O b j e c t K e y & g t ; & l t ; K e y & g t ; T a b l e s \ W i n t e r   d a i l y   s i t r e p s \ M e a s u r e s \ S u m   o f   A m b   d e l a y s   3 0 - 6 0   m i n s & l t ; / K e y & g t ; & l t ; / D i a g r a m O b j e c t K e y & g t ; & l t ; D i a g r a m O b j e c t K e y & g t ; & l t ; K e y & g t ; T a b l e s \ W i n t e r   d a i l y   s i t r e p s \ S u m   o f   A m b   d e l a y s   3 0 - 6 0   m i n s \ A d d i t i o n a l   I n f o \ I m p l i c i t   M e a s u r e & l t ; / K e y & g t ; & l t ; / D i a g r a m O b j e c t K e y & g t ; & l t ; D i a g r a m O b j e c t K e y & g t ; & l t ; K e y & g t ; T a b l e s \ W i n t e r   d a i l y   s i t r e p s \ M e a s u r e s \ S u m   o f   A m b   d e l a y s   o v e r   6 0   m i n s & l t ; / K e y & g t ; & l t ; / D i a g r a m O b j e c t K e y & g t ; & l t ; D i a g r a m O b j e c t K e y & g t ; & l t ; K e y & g t ; T a b l e s \ W i n t e r   d a i l y   s i t r e p s \ S u m   o f   A m b   d e l a y s   o v e r   6 0   m i n s \ A d d i t i o n a l   I n f o \ I m p l i c i t   M e a s u r e & l t ; / K e y & g t ; & l t ; / D i a g r a m O b j e c t K e y & g t ; & l t ; D i a g r a m O b j e c t K e y & g t ; & l t ; K e y & g t ; T a b l e s \ W i n t e r   d a i l y   s i t r e p s \ M e a s u r e s \ S u m   o f   A d u l t   C C   b e d s   a v a i l & l t ; / K e y & g t ; & l t ; / D i a g r a m O b j e c t K e y & g t ; & l t ; D i a g r a m O b j e c t K e y & g t ; & l t ; K e y & g t ; T a b l e s \ W i n t e r   d a i l y   s i t r e p s \ S u m   o f   A d u l t   C C   b e d s   a v a i l \ A d d i t i o n a l   I n f o \ I m p l i c i t   M e a s u r e & l t ; / K e y & g t ; & l t ; / D i a g r a m O b j e c t K e y & g t ; & l t ; D i a g r a m O b j e c t K e y & g t ; & l t ; K e y & g t ; T a b l e s \ W i n t e r   d a i l y   s i t r e p s \ M e a s u r e s \ S u m   o f   A d u l t   C C   b e d s   o c c & l t ; / K e y & g t ; & l t ; / D i a g r a m O b j e c t K e y & g t ; & l t ; D i a g r a m O b j e c t K e y & g t ; & l t ; K e y & g t ; T a b l e s \ W i n t e r   d a i l y   s i t r e p s \ S u m   o f   A d u l t   C C   b e d s   o c c \ A d d i t i o n a l   I n f o \ I m p l i c i t   M e a s u r e & l t ; / K e y & g t ; & l t ; / D i a g r a m O b j e c t K e y & g t ; & l t ; D i a g r a m O b j e c t K e y & g t ; & l t ; K e y & g t ; T a b l e s \ W i n t e r   d a i l y   s i t r e p s \ M e a s u r e s \ S u m   o f   P a e d   I n t   C a r e   A v a i l & l t ; / K e y & g t ; & l t ; / D i a g r a m O b j e c t K e y & g t ; & l t ; D i a g r a m O b j e c t K e y & g t ; & l t ; K e y & g t ; T a b l e s \ W i n t e r   d a i l y   s i t r e p s \ S u m   o f   P a e d   I n t   C a r e   A v a i l \ A d d i t i o n a l   I n f o \ I m p l i c i t   M e a s u r e & l t ; / K e y & g t ; & l t ; / D i a g r a m O b j e c t K e y & g t ; & l t ; D i a g r a m O b j e c t K e y & g t ; & l t ; K e y & g t ; T a b l e s \ W i n t e r   d a i l y   s i t r e p s \ M e a s u r e s \ S u m   o f   P a e d   I n t   C a r e   O c c & l t ; / K e y & g t ; & l t ; / D i a g r a m O b j e c t K e y & g t ; & l t ; D i a g r a m O b j e c t K e y & g t ; & l t ; K e y & g t ; T a b l e s \ W i n t e r   d a i l y   s i t r e p s \ S u m   o f   P a e d   I n t   C a r e   O c c \ A d d i t i o n a l   I n f o \ I m p l i c i t   M e a s u r e & l t ; / K e y & g t ; & l t ; / D i a g r a m O b j e c t K e y & g t ; & l t ; D i a g r a m O b j e c t K e y & g t ; & l t ; K e y & g t ; T a b l e s \ W i n t e r   d a i l y   s i t r e p s \ M e a s u r e s \ S u m   o f   N e o   I n t   C a r e   A v a i l & l t ; / K e y & g t ; & l t ; / D i a g r a m O b j e c t K e y & g t ; & l t ; D i a g r a m O b j e c t K e y & g t ; & l t ; K e y & g t ; T a b l e s \ W i n t e r   d a i l y   s i t r e p s \ S u m   o f   N e o   I n t   C a r e   A v a i l \ A d d i t i o n a l   I n f o \ I m p l i c i t   M e a s u r e & l t ; / K e y & g t ; & l t ; / D i a g r a m O b j e c t K e y & g t ; & l t ; D i a g r a m O b j e c t K e y & g t ; & l t ; K e y & g t ; T a b l e s \ W i n t e r   d a i l y   s i t r e p s \ M e a s u r e s \ S u m   o f   N e o   I n t   C a r e   o c c & l t ; / K e y & g t ; & l t ; / D i a g r a m O b j e c t K e y & g t ; & l t ; D i a g r a m O b j e c t K e y & g t ; & l t ; K e y & g t ; T a b l e s \ W i n t e r   d a i l y   s i t r e p s \ S u m   o f   N e o   I n t   C a r e   o c c \ A d d i t i o n a l   I n f o \ I m p l i c i t   M e a s u r e & l t ; / K e y & g t ; & l t ; / D i a g r a m O b j e c t K e y & g t ; & l t ; D i a g r a m O b j e c t K e y & g t ; & l t ; K e y & g t ; T a b l e s \ W i n t e r   d a i l y   s i t r e p s \ M e a s u r e s \ A v e r a g e   o f   N e o   I n t   C a r e   A v a i l & l t ; / K e y & g t ; & l t ; / D i a g r a m O b j e c t K e y & g t ; & l t ; D i a g r a m O b j e c t K e y & g t ; & l t ; K e y & g t ; T a b l e s \ W i n t e r   d a i l y   s i t r e p s \ A v e r a g e   o f   N e o   I n t   C a r e   A v a i l \ A d d i t i o n a l   I n f o \ I m p l i c i t   M e a s u r e & l t ; / K e y & g t ; & l t ; / D i a g r a m O b j e c t K e y & g t ; & l t ; D i a g r a m O b j e c t K e y & g t ; & l t ; K e y & g t ; T a b l e s \ W i n t e r   d a i l y   s i t r e p s \ M e a s u r e s \ A v e r a g e   o f   N e o   I n t   C a r e   o c c & l t ; / K e y & g t ; & l t ; / D i a g r a m O b j e c t K e y & g t ; & l t ; D i a g r a m O b j e c t K e y & g t ; & l t ; K e y & g t ; T a b l e s \ W i n t e r   d a i l y   s i t r e p s \ A v e r a g e   o f   N e o   I n t   C a r e   o c c \ A d d i t i o n a l   I n f o \ I m p l i c i t   M e a s u r e & l t ; / K e y & g t ; & l t ; / D i a g r a m O b j e c t K e y & g t ; & l t ; D i a g r a m O b j e c t K e y & g t ; & l t ; K e y & g t ; T a b l e s \ W i n t e r   d a i l y   s i t r e p s \ M e a s u r e s \ S u m   o f   G A   b e d   o c c u p a n c y & l t ; / K e y & g t ; & l t ; / D i a g r a m O b j e c t K e y & g t ; & l t ; D i a g r a m O b j e c t K e y & g t ; & l t ; K e y & g t ; T a b l e s \ W i n t e r   d a i l y   s i t r e p s \ S u m   o f   G A   b e d   o c c u p a n c y \ A d d i t i o n a l   I n f o \ I m p l i c i t   M e a s u r e & l t ; / K e y & g t ; & l t ; / D i a g r a m O b j e c t K e y & g t ; & l t ; D i a g r a m O b j e c t K e y & g t ; & l t ; K e y & g t ; T a b l e s \ W i n t e r   d a i l y   s i t r e p s \ M e a s u r e s \ A v e r a g e   o f   G A   b e d   o c c u p a n c y & l t ; / K e y & g t ; & l t ; / D i a g r a m O b j e c t K e y & g t ; & l t ; D i a g r a m O b j e c t K e y & g t ; & l t ; K e y & g t ; T a b l e s \ W i n t e r   d a i l y   s i t r e p s \ A v e r a g e   o f   G A   b e d   o c c u p a n c y \ A d d i t i o n a l   I n f o \ I m p l i c i t   M e a s u r e & l t ; / K e y & g t ; & l t ; / D i a g r a m O b j e c t K e y & g t ; & l t ; D i a g r a m O b j e c t K e y & g t ; & l t ; K e y & g t ; T a b l e s \ W i n t e r   d a i l y   s i t r e p s \ M e a s u r e s \ S u m   o f   G A   c o r e   b e d s   a v a i l & l t ; / K e y & g t ; & l t ; / D i a g r a m O b j e c t K e y & g t ; & l t ; D i a g r a m O b j e c t K e y & g t ; & l t ; K e y & g t ; T a b l e s \ W i n t e r   d a i l y   s i t r e p s \ S u m   o f   G A   c o r e   b e d s   a v a i l \ A d d i t i o n a l   I n f o \ I m p l i c i t   M e a s u r e & l t ; / K e y & g t ; & l t ; / D i a g r a m O b j e c t K e y & g t ; & l t ; D i a g r a m O b j e c t K e y & g t ; & l t ; K e y & g t ; T a b l e s \ W i n t e r   d a i l y   s i t r e p s \ M e a s u r e s \ S u m   o f   G A   e s c a l a t i o n   b e d s   a v a i l & l t ; / K e y & g t ; & l t ; / D i a g r a m O b j e c t K e y & g t ; & l t ; D i a g r a m O b j e c t K e y & g t ; & l t ; K e y & g t ; T a b l e s \ W i n t e r   d a i l y   s i t r e p s \ S u m   o f   G A   e s c a l a t i o n   b e d s   a v a i l \ A d d i t i o n a l   I n f o \ I m p l i c i t   M e a s u r e & l t ; / K e y & g t ; & l t ; / D i a g r a m O b j e c t K e y & g t ; & l t ; D i a g r a m O b j e c t K e y & g t ; & l t ; K e y & g t ; T a b l e s \ W i n t e r   d a i l y   s i t r e p s \ M e a s u r e s \ S u m   o f   B e d s   o c c   o v e r   1 4   d a y s   2 & l t ; / K e y & g t ; & l t ; / D i a g r a m O b j e c t K e y & g t ; & l t ; D i a g r a m O b j e c t K e y & g t ; & l t ; K e y & g t ; T a b l e s \ W i n t e r   d a i l y   s i t r e p s \ S u m   o f   B e d s   o c c   o v e r   1 4   d a y s   2 \ A d d i t i o n a l   I n f o \ I m p l i c i t   M e a s u r e & l t ; / K e y & g t ; & l t ; / D i a g r a m O b j e c t K e y & g t ; & l t ; D i a g r a m O b j e c t K e y & g t ; & l t ; K e y & g t ; T a b l e s \ W i n t e r   b e d   o c c   o v e r   1 4   d a y s & l t ; / K e y & g t ; & l t ; / D i a g r a m O b j e c t K e y & g t ; & l t ; D i a g r a m O b j e c t K e y & g t ; & l t ; K e y & g t ; T a b l e s \ W i n t e r   b e d   o c c   o v e r   1 4   d a y s \ C o l u m n s \ R e g i o n & l t ; / K e y & g t ; & l t ; / D i a g r a m O b j e c t K e y & g t ; & l t ; D i a g r a m O b j e c t K e y & g t ; & l t ; K e y & g t ; T a b l e s \ W i n t e r   b e d   o c c   o v e r   1 4   d a y s \ C o l u m n s \ C o d e & l t ; / K e y & g t ; & l t ; / D i a g r a m O b j e c t K e y & g t ; & l t ; D i a g r a m O b j e c t K e y & g t ; & l t ; K e y & g t ; T a b l e s \ W i n t e r   b e d   o c c   o v e r   1 4   d a y s \ C o l u m n s \ N a m e & l t ; / K e y & g t ; & l t ; / D i a g r a m O b j e c t K e y & g t ; & l t ; D i a g r a m O b j e c t K e y & g t ; & l t ; K e y & g t ; T a b l e s \ W i n t e r   b e d   o c c   o v e r   1 4   d a y s \ C o l u m n s \ Y e a r & l t ; / K e y & g t ; & l t ; / D i a g r a m O b j e c t K e y & g t ; & l t ; D i a g r a m O b j e c t K e y & g t ; & l t ; K e y & g t ; T a b l e s \ W i n t e r   b e d   o c c   o v e r   1 4   d a y s \ C o l u m n s \ D a t e & l t ; / K e y & g t ; & l t ; / D i a g r a m O b j e c t K e y & g t ; & l t ; D i a g r a m O b j e c t K e y & g t ; & l t ; K e y & g t ; T a b l e s \ W i n t e r   b e d   o c c   o v e r   1 4   d a y s \ C o l u m n s \ W e e k & l t ; / K e y & g t ; & l t ; / D i a g r a m O b j e c t K e y & g t ; & l t ; D i a g r a m O b j e c t K e y & g t ; & l t ; K e y & g t ; T a b l e s \ W i n t e r   b e d   o c c   o v e r   1 4   d a y s \ C o l u m n s \ D a y & l t ; / K e y & g t ; & l t ; / D i a g r a m O b j e c t K e y & g t ; & l t ; D i a g r a m O b j e c t K e y & g t ; & l t ; K e y & g t ; T a b l e s \ W i n t e r   b e d   o c c   o v e r   1 4   d a y s \ C o l u m n s \ W e e k e n d & l t ; / K e y & g t ; & l t ; / D i a g r a m O b j e c t K e y & g t ; & l t ; D i a g r a m O b j e c t K e y & g t ; & l t ; K e y & g t ; T a b l e s \ W i n t e r   b e d   o c c   o v e r   1 4   d a y s \ C o l u m n s \ B a n k   h o l i d a y & l t ; / K e y & g t ; & l t ; / D i a g r a m O b j e c t K e y & g t ; & l t ; D i a g r a m O b j e c t K e y & g t ; & l t ; K e y & g t ; T a b l e s \ W i n t e r   b e d   o c c   o v e r   1 4   d a y s \ C o l u m n s \ A   E   c l o s u r e s & l t ; / K e y & g t ; & l t ; / D i a g r a m O b j e c t K e y & g t ; & l t ; D i a g r a m O b j e c t K e y & g t ; & l t ; K e y & g t ; T a b l e s \ W i n t e r   b e d   o c c   o v e r   1 4   d a y s \ C o l u m n s \ A   E   d i v e r t s & l t ; / K e y & g t ; & l t ; / D i a g r a m O b j e c t K e y & g t ; & l t ; D i a g r a m O b j e c t K e y & g t ; & l t ; K e y & g t ; T a b l e s \ W i n t e r   b e d   o c c   o v e r   1 4   d a y s \ C o l u m n s \ G   A   c o r e   b e d s   a v a i l & l t ; / K e y & g t ; & l t ; / D i a g r a m O b j e c t K e y & g t ; & l t ; D i a g r a m O b j e c t K e y & g t ; & l t ; K e y & g t ; T a b l e s \ W i n t e r   b e d   o c c   o v e r   1 4   d a y s \ C o l u m n s \ G   A   e s c a l a t i o n   b e d s   a v a i l & l t ; / K e y & g t ; & l t ; / D i a g r a m O b j e c t K e y & g t ; & l t ; D i a g r a m O b j e c t K e y & g t ; & l t ; K e y & g t ; T a b l e s \ W i n t e r   b e d   o c c   o v e r   1 4   d a y s \ C o l u m n s \ G   A   t o t a l   b e d s   a v a i l & l t ; / K e y & g t ; & l t ; / D i a g r a m O b j e c t K e y & g t ; & l t ; D i a g r a m O b j e c t K e y & g t ; & l t ; K e y & g t ; T a b l e s \ W i n t e r   b e d   o c c   o v e r   1 4   d a y s \ C o l u m n s \ G   A   t o t a l   b e d s   o c c u p i e d & l t ; / K e y & g t ; & l t ; / D i a g r a m O b j e c t K e y & g t ; & l t ; D i a g r a m O b j e c t K e y & g t ; & l t ; K e y & g t ; T a b l e s \ W i n t e r   b e d   o c c   o v e r   1 4   d a y s \ C o l u m n s \ B e d s   o c c   o v e r   7   d a y s & l t ; / K e y & g t ; & l t ; / D i a g r a m O b j e c t K e y & g t ; & l t ; D i a g r a m O b j e c t K e y & g t ; & l t ; K e y & g t ; T a b l e s \ W i n t e r   b e d   o c c   o v e r   1 4   d a y s \ C o l u m n s \ B e d s   o c c   o v e r   2 1   d a y s & l t ; / K e y & g t ; & l t ; / D i a g r a m O b j e c t K e y & g t ; & l t ; D i a g r a m O b j e c t K e y & g t ; & l t ; K e y & g t ; T a b l e s \ W i n t e r   b e d   o c c   o v e r   1 4   d a y s \ C o l u m n s \ B e d s   c l o s e d   n o r o v i r u s & l t ; / K e y & g t ; & l t ; / D i a g r a m O b j e c t K e y & g t ; & l t ; D i a g r a m O b j e c t K e y & g t ; & l t ; K e y & g t ; T a b l e s \ W i n t e r   b e d   o c c   o v e r   1 4   d a y s \ C o l u m n s \ B e d s   c l o s e d   n o r o v i u s   u n o c c & l t ; / K e y & g t ; & l t ; / D i a g r a m O b j e c t K e y & g t ; & l t ; D i a g r a m O b j e c t K e y & g t ; & l t ; K e y & g t ; T a b l e s \ W i n t e r   b e d   o c c   o v e r   1 4   d a y s \ C o l u m n s \ A d u l t   C C   b e d s   a v a i l & l t ; / K e y & g t ; & l t ; / D i a g r a m O b j e c t K e y & g t ; & l t ; D i a g r a m O b j e c t K e y & g t ; & l t ; K e y & g t ; T a b l e s \ W i n t e r   b e d   o c c   o v e r   1 4   d a y s \ C o l u m n s \ A d u l t   C C   b e d s   o c c & l t ; / K e y & g t ; & l t ; / D i a g r a m O b j e c t K e y & g t ; & l t ; D i a g r a m O b j e c t K e y & g t ; & l t ; K e y & g t ; T a b l e s \ W i n t e r   b e d   o c c   o v e r   1 4   d a y s \ C o l u m n s \ P a e d   I n t   C a r e   A v a i l & l t ; / K e y & g t ; & l t ; / D i a g r a m O b j e c t K e y & g t ; & l t ; D i a g r a m O b j e c t K e y & g t ; & l t ; K e y & g t ; T a b l e s \ W i n t e r   b e d   o c c   o v e r   1 4   d a y s \ C o l u m n s \ P a e d   I n t   C a r e   O c c & l t ; / K e y & g t ; & l t ; / D i a g r a m O b j e c t K e y & g t ; & l t ; D i a g r a m O b j e c t K e y & g t ; & l t ; K e y & g t ; T a b l e s \ W i n t e r   b e d   o c c   o v e r   1 4   d a y s \ C o l u m n s \ N e o   I n t   C a r e   A v a i l & l t ; / K e y & g t ; & l t ; / D i a g r a m O b j e c t K e y & g t ; & l t ; D i a g r a m O b j e c t K e y & g t ; & l t ; K e y & g t ; T a b l e s \ W i n t e r   b e d   o c c   o v e r   1 4   d a y s \ C o l u m n s \ N e o   I n t   C a r e   o c c & l t ; / K e y & g t ; & l t ; / D i a g r a m O b j e c t K e y & g t ; & l t ; D i a g r a m O b j e c t K e y & g t ; & l t ; K e y & g t ; T a b l e s \ W i n t e r   b e d   o c c   o v e r   1 4   d a y s \ C o l u m n s \ A m b   a r r i v a l s & l t ; / K e y & g t ; & l t ; / D i a g r a m O b j e c t K e y & g t ; & l t ; D i a g r a m O b j e c t K e y & g t ; & l t ; K e y & g t ; T a b l e s \ W i n t e r   b e d   o c c   o v e r   1 4   d a y s \ C o l u m n s \ A m b   d e l a y s   3 0 - 6 0   m i n s & l t ; / K e y & g t ; & l t ; / D i a g r a m O b j e c t K e y & g t ; & l t ; D i a g r a m O b j e c t K e y & g t ; & l t ; K e y & g t ; T a b l e s \ W i n t e r   b e d   o c c   o v e r   1 4   d a y s \ C o l u m n s \ A m b   d e l a y s   o v e r   6 0   m i n s & l t ; / K e y & g t ; & l t ; / D i a g r a m O b j e c t K e y & g t ; & l t ; D i a g r a m O b j e c t K e y & g t ; & l t ; K e y & g t ; T a b l e s \ W i n t e r   b e d   o c c   o v e r   1 4   d a y s \ C o l u m n s \ B e d s   o c c   o v e r   1 4   d a y s & l t ; / K e y & g t ; & l t ; / D i a g r a m O b j e c t K e y & g t ; & l t ; D i a g r a m O b j e c t K e y & g t ; & l t ; K e y & g t ; T a b l e s \ W i n t e r   b e d   o c c   o v e r   1 4   d a y s \ M e a s u r e s \ S u m   o f   B e d s   o c c   o v e r   1 4   d a y s & l t ; / K e y & g t ; & l t ; / D i a g r a m O b j e c t K e y & g t ; & l t ; D i a g r a m O b j e c t K e y & g t ; & l t ; K e y & g t ; T a b l e s \ W i n t e r   b e d   o c c   o v e r   1 4   d a y s \ S u m   o f   B e d s   o c c   o v e r   1 4   d a y s \ A d d i t i o n a l   I n f o \ I m p l i c i t   M e a s u r e & l t ; / K e y & g t ; & l t ; / D i a g r a m O b j e c t K e y & g t ; & l t ; / A l l K e y s & 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B a s e V i e w S t a t e \ I D i a g r a m A c t i o n " / & g t ; & l t ; / a : K e y V a l u e O f D i a g r a m O b j e c t K e y a n y T y p e z b w N T n L X & g t ; & l t ; a : K e y V a l u e O f D i a g r a m O b j e c t K e y a n y T y p e z b w N T n L X & g t ; & l t ; a : K e y & g t ; & l t ; K e y & g t ; A c t i o n s \ S e l e c t & l t ; / K e y & g t ; & l t ; / a : K e y & g t ; & l t ; a : V a l u e   i : t y p e = " D i a g r a m D i s p l a y B a s e V i e w S t a t e \ I D i a g r a m A c t i o n " / & g t ; & l t ; / a : K e y V a l u e O f D i a g r a m O b j e c t K e y a n y T y p e z b w N T n L X & g t ; & l t ; a : K e y V a l u e O f D i a g r a m O b j e c t K e y a n y T y p e z b w N T n L X & g t ; & l t ; a : K e y & g t ; & l t ; K e y & g t ; A c t i o n s \ C r e a t e   R e l a t i o n s h i p & l t ; / K e y & g t ; & l t ; / a : K e y & g t ; & l t ; a : V a l u e   i : t y p e = " D i a g r a m D i s p l a y B a s e V i e w S t a t e \ I D i a g r a m A c t i o n " / & g t ; & l t ; / a : K e y V a l u e O f D i a g r a m O b j e c t K e y a n y T y p e z b w N T n L X & g t ; & l t ; a : K e y V a l u e O f D i a g r a m O b j e c t K e y a n y T y p e z b w N T n L X & g t ; & l t ; a : K e y & g t ; & l t ; K e y & g t ; A c t i o n s \ L a u n c h   C r e a t e   R e l a t i o n s h i p   D i a l o g & l t ; / K e y & g t ; & l t ; / a : K e y & g t ; & l t ; a : V a l u e   i : t y p e = " D i a g r a m D i s p l a y B a s e V i e w S t a t e \ I D i a g r a m A c t i o n " / & g t ; & l t ; / a : K e y V a l u e O f D i a g r a m O b j e c t K e y a n y T y p e z b w N T n L X & g t ; & l t ; a : K e y V a l u e O f D i a g r a m O b j e c t K e y a n y T y p e z b w N T n L X & g t ; & l t ; a : K e y & g t ; & l t ; K e y & g t ; A c t i o n s \ L a u n c h   E d i t   R e l a t i o n s h i p   D i a l o g & l t ; / K e y & g t ; & l t ; / a : K e y & g t ; & l t ; a : V a l u e   i : t y p e = " D i a g r a m D i s p l a y B a s e V i e w S t a t e \ I D i a g r a m A c t i o n " / & g t ; & l t ; / a : K e y V a l u e O f D i a g r a m O b j e c t K e y a n y T y p e z b w N T n L X & g t ; & l t ; a : K e y V a l u e O f D i a g r a m O b j e c t K e y a n y T y p e z b w N T n L X & g t ; & l t ; a : K e y & g t ; & l t ; K e y & g t ; A c t i o n s \ C r e a t e   H i e r a r c h y   w i t h   L e v e l s & l t ; / K e y & g t ; & l t ; / a : K e y & g t ; & l t ; a : V a l u e   i : t y p e = " D i a g r a m D i s p l a y B a s e V i e w S t a t e \ I D i a g r a m A c t i o n " / & g t ; & l t ; / a : K e y V a l u e O f D i a g r a m O b j e c t K e y a n y T y p e z b w N T n L X & g t ; & l t ; a : K e y V a l u e O f D i a g r a m O b j e c t K e y a n y T y p e z b w N T n L X & g t ; & l t ; a : K e y & g t ; & l t ; K e y & g t ; A c t i o n s \ C r e a t e   E m p t y   H i e r a r c h y & l t ; / K e y & g t ; & l t ; / a : K e y & g t ; & l t ; a : V a l u e   i : t y p e = " D i a g r a m D i s p l a y B a s e V i e w S t a t e \ I D i a g r a m A c t i o n " / & g t ; & l t ; / a : K e y V a l u e O f D i a g r a m O b j e c t K e y a n y T y p e z b w N T n L X & g t ; & l t ; a : K e y V a l u e O f D i a g r a m O b j e c t K e y a n y T y p e z b w N T n L X & g t ; & l t ; a : K e y & g t ; & l t ; K e y & g t ; A c t i o n s \ R e m o v e   f r o m   H i e r a r c h y & l t ; / K e y & g t ; & l t ; / a : K e y & g t ; & l t ; a : V a l u e   i : t y p e = " D i a g r a m D i s p l a y B a s e V i e w S t a t e \ I D i a g r a m A c t i o n " / & g t ; & l t ; / a : K e y V a l u e O f D i a g r a m O b j e c t K e y a n y T y p e z b w N T n L X & g t ; & l t ; a : K e y V a l u e O f D i a g r a m O b j e c t K e y a n y T y p e z b w N T n L X & g t ; & l t ; a : K e y & g t ; & l t ; K e y & g t ; A c t i o n s \ R e n a m e   N o d e & l t ; / K e y & g t ; & l t ; / a : K e y & g t ; & l t ; a : V a l u e   i : t y p e = " D i a g r a m D i s p l a y B a s e V i e w S t a t e \ I D i a g r a m A c t i o n " / & g t ; & l t ; / a : K e y V a l u e O f D i a g r a m O b j e c t K e y a n y T y p e z b w N T n L X & g t ; & l t ; a : K e y V a l u e O f D i a g r a m O b j e c t K e y a n y T y p e z b w N T n L X & g t ; & l t ; a : K e y & g t ; & l t ; K e y & g t ; A c t i o n s \ M o v e   N o d e & l t ; / K e y & g t ; & l t ; / a : K e y & g t ; & l t ; a : V a l u e   i : t y p e = " D i a g r a m D i s p l a y B a s e V i e w S t a t e \ I D i a g r a m A c t i o n " / & g t ; & l t ; / a : K e y V a l u e O f D i a g r a m O b j e c t K e y a n y T y p e z b w N T n L X & g t ; & l t ; a : K e y V a l u e O f D i a g r a m O b j e c t K e y a n y T y p e z b w N T n L X & g t ; & l t ; a : K e y & g t ; & l t ; K e y & g t ; A c t i o n s \ H i d e   t h e   e n t i t y & l t ; / K e y & g t ; & l t ; / a : K e y & g t ; & l t ; a : V a l u e   i : t y p e = " D i a g r a m D i s p l a y B a s e V i e w S t a t e \ I D i a g r a m A c t i o n " / & g t ; & l t ; / a : K e y V a l u e O f D i a g r a m O b j e c t K e y a n y T y p e z b w N T n L X & g t ; & l t ; a : K e y V a l u e O f D i a g r a m O b j e c t K e y a n y T y p e z b w N T n L X & g t ; & l t ; a : K e y & g t ; & l t ; K e y & g t ; A c t i o n s \ U n h i d e   t h e   e n t i t y & l t ; / K e y & g t ; & l t ; / a : K e y & g t ; & l t ; a : V a l u e   i : t y p e = " D i a g r a m D i s p l a y B a s e V i e w S t a t e \ I D i a g r a m A c t i o n " / & g t ; & l t ; / a : K e y V a l u e O f D i a g r a m O b j e c t K e y a n y T y p e z b w N T n L X & g t ; & l t ; a : K e y V a l u e O f D i a g r a m O b j e c t K e y a n y T y p e z b w N T n L X & g t ; & l t ; a : K e y & g t ; & l t ; K e y & g t ; A c t i o n s \ G o T o & l t ; / K e y & g t ; & l t ; / a : K e y & g t ; & l t ; a : V a l u e   i : t y p e = " D i a g r a m D i s p l a y B a s e V i e w S t a t e \ I D i a g r a m A c t i o n " / & g t ; & l t ; / a : K e y V a l u e O f D i a g r a m O b j e c t K e y a n y T y p e z b w N T n L X & g t ; & l t ; a : K e y V a l u e O f D i a g r a m O b j e c t K e y a n y T y p e z b w N T n L X & g t ; & l t ; a : K e y & g t ; & l t ; K e y & g t ; A c t i o n s \ M o v e   U p & l t ; / K e y & g t ; & l t ; / a : K e y & g t ; & l t ; a : V a l u e   i : t y p e = " D i a g r a m D i s p l a y B a s e V i e w S t a t e \ I D i a g r a m A c t i o n " / & g t ; & l t ; / a : K e y V a l u e O f D i a g r a m O b j e c t K e y a n y T y p e z b w N T n L X & g t ; & l t ; a : K e y V a l u e O f D i a g r a m O b j e c t K e y a n y T y p e z b w N T n L X & g t ; & l t ; a : K e y & g t ; & l t ; K e y & g t ; A c t i o n s \ M o v e   D o w n & l t ; / K e y & g t ; & l t ; / a : K e y & g t ; & l t ; a : V a l u e   i : t y p e = " D i a g r a m D i s p l a y B a s e V i e w S t a t e \ I D i a g r a m A c t i o n " / & g t ; & l t ; / a : K e y V a l u e O f D i a g r a m O b j e c t K e y a n y T y p e z b w N T n L X & g t ; & l t ; a : K e y V a l u e O f D i a g r a m O b j e c t K e y a n y T y p e z b w N T n L X & g t ; & l t ; a : K e y & g t ; & l t ; K e y & g t ; A c t i o n s \ M a r k   R e l a t i o n s h i p   a s   A c t i v e & l t ; / K e y & g t ; & l t ; / a : K e y & g t ; & l t ; a : V a l u e   i : t y p e = " D i a g r a m D i s p l a y B a s e V i e w S t a t e \ I D i a g r a m A c t i o n " / & g t ; & l t ; / a : K e y V a l u e O f D i a g r a m O b j e c t K e y a n y T y p e z b w N T n L X & g t ; & l t ; a : K e y V a l u e O f D i a g r a m O b j e c t K e y a n y T y p e z b w N T n L X & g t ; & l t ; a : K e y & g t ; & l t ; K e y & g t ; A c t i o n s \ M a r k   R e l a t i o n s h i p   a s   I n a c t i v e & l t ; / K e y & g t ; & l t ; / a : K e y & g t ; & l t ; a : V a l u e   i : t y p e = " D i a g r a m D i s p l a y B a s e V i e w S t a t e \ I D i a g r a m A c t i o n " / & g t ; & l t ; / a : K e y V a l u e O f D i a g r a m O b j e c t K e y a n y T y p e z b w N T n L X & g t ; & l t ; a : K e y V a l u e O f D i a g r a m O b j e c t K e y a n y T y p e z b w N T n L X & g t ; & l t ; a : K e y & g t ; & l t ; K e y & g t ; T a g G r o u p s \ N o d e   T y p e s & l t ; / K e y & g t ; & l t ; / a : K e y & g t ; & l t ; a : V a l u e   i : t y p e = " D i a g r a m D i s p l a y B a s e V i e w S t a t e \ I D i a g r a m T a g G r o u p " / & g t ; & l t ; / a : K e y V a l u e O f D i a g r a m O b j e c t K e y a n y T y p e z b w N T n L X & g t ; & l t ; a : K e y V a l u e O f D i a g r a m O b j e c t K e y a n y T y p e z b w N T n L X & g t ; & l t ; a : K e y & g t ; & l t ; K e y & g t ; T a g G r o u p s \ A d d i t i o n a l   I n f o   T y p e s & l t ; / K e y & g t ; & l t ; / a : K e y & g t ; & l t ; a : V a l u e   i : t y p e = " D i a g r a m D i s p l a y B a s e V i e w S t a t e \ I D i a g r a m T a g G r o u p " / & g t ; & l t ; / a : K e y V a l u e O f D i a g r a m O b j e c t K e y a n y T y p e z b w N T n L X & g t ; & l t ; a : K e y V a l u e O f D i a g r a m O b j e c t K e y a n y T y p e z b w N T n L X & g t ; & l t ; a : K e y & g t ; & l t ; K e y & g t ; T a g G r o u p s \ C a l c u l a t e d   C o l u m n s & l t ; / K e y & g t ; & l t ; / a : K e y & g t ; & l t ; a : V a l u e   i : t y p e = " D i a g r a m D i s p l a y B a s e V i e w S t a t e \ I D i a g r a m T a g G r o u p " / & g t ; & l t ; / a : K e y V a l u e O f D i a g r a m O b j e c t K e y a n y T y p e z b w N T n L X & g t ; & l t ; a : K e y V a l u e O f D i a g r a m O b j e c t K e y a n y T y p e z b w N T n L X & g t ; & l t ; a : K e y & g t ; & l t ; K e y & g t ; T a g G r o u p s \ W a r n i n g s & l t ; / K e y & g t ; & l t ; / a : K e y & g t ; & l t ; a : V a l u e   i : t y p e = " D i a g r a m D i s p l a y B a s e V i e w S t a t e \ I D i a g r a m T a g G r o u p " / & g t ; & l t ; / a : K e y V a l u e O f D i a g r a m O b j e c t K e y a n y T y p e z b w N T n L X & g t ; & l t ; a : K e y V a l u e O f D i a g r a m O b j e c t K e y a n y T y p e z b w N T n L X & g t ; & l t ; a : K e y & g t ; & l t ; K e y & g t ; T a g G r o u p s \ H i g h l i g h t   R e a s o n s & l t ; / K e y & g t ; & l t ; / a : K e y & g t ; & l t ; a : V a l u e   i : t y p e = " D i a g r a m D i s p l a y B a s e V i e w S t a t e \ I D i a g r a m T a g G r o u p " / & g t ; & l t ; / a : K e y V a l u e O f D i a g r a m O b j e c t K e y a n y T y p e z b w N T n L X & g t ; & l t ; a : K e y V a l u e O f D i a g r a m O b j e c t K e y a n y T y p e z b w N T n L X & g t ; & l t ; a : K e y & g t ; & l t ; K e y & g t ; T a g G r o u p s \ S t a t e & l t ; / K e y & g t ; & l t ; / a : K e y & g t ; & l t ; a : V a l u e   i : t y p e = " D i a g r a m D i s p l a y B a s e V i e w S t a t e \ I D i a g r a m T a g G r o u p " / & g t ; & l t ; / a : K e y V a l u e O f D i a g r a m O b j e c t K e y a n y T y p e z b w N T n L X & g t ; & l t ; a : K e y V a l u e O f D i a g r a m O b j e c t K e y a n y T y p e z b w N T n L X & g t ; & l t ; a : K e y & g t ; & l t ; K e y & g t ; T a g G r o u p s \ L i n k   R o l e s & l t ; / K e y & g t ; & l t ; / a : K e y & g t ; & l t ; a : V a l u e   i : t y p e = " D i a g r a m D i s p l a y B a s e V i e w S t a t e \ I D i a g r a m T a g G r o u p " / & g t ; & l t ; / a : K e y V a l u e O f D i a g r a m O b j e c t K e y a n y T y p e z b w N T n L X & g t ; & l t ; a : K e y V a l u e O f D i a g r a m O b j e c t K e y a n y T y p e z b w N T n L X & g t ; & l t ; a : K e y & g t ; & l t ; K e y & g t ; T a g G r o u p s \ L i n k   T y p e s & l t ; / K e y & g t ; & l t ; / a : K e y & g t ; & l t ; a : V a l u e   i : t y p e = " D i a g r a m D i s p l a y B a s e V i e w S t a t e \ I D i a g r a m T a g G r o u p " / & g t ; & l t ; / a : K e y V a l u e O f D i a g r a m O b j e c t K e y a n y T y p e z b w N T n L X & g t ; & l t ; a : K e y V a l u e O f D i a g r a m O b j e c t K e y a n y T y p e z b w N T n L X & g t ; & l t ; a : K e y & g t ; & l t ; K e y & g t ; T a g G r o u p s \ L i n k   S t a t e s & l t ; / K e y & g t ; & l t ; / a : K e y & g t ; & l t ; a : V a l u e   i : t y p e = " D i a g r a m D i s p l a y B a s e V i e w S t a t e \ I D i a g r a m T a g G r o u p " / & g t ; & l t ; / a : K e y V a l u e O f D i a g r a m O b j e c t K e y a n y T y p e z b w N T n L X & g t ; & l t ; a : K e y V a l u e O f D i a g r a m O b j e c t K e y a n y T y p e z b w N T n L X & g t ; & l t ; a : K e y & g t ; & l t ; K e y & g t ; D i a g r a m \ T a g G r o u p s \ D e l e t i o n   I m p a c t s & l t ; / K e y & g t ; & l t ; / a : K e y & g t ; & l t ; a : V a l u e   i : t y p e = " D i a g r a m D i s p l a y B a s e V i e w S t a t e \ I D i a g r a m T a g G r o u p " / & g t ; & l t ; / a : K e y V a l u e O f D i a g r a m O b j e c t K e y a n y T y p e z b w N T n L X & g t ; & l t ; a : K e y V a l u e O f D i a g r a m O b j e c t K e y a n y T y p e z b w N T n L X & g t ; & l t ; a : K e y & g t ; & l t ; K e y & g t ; T a g G r o u p s \ H i e r a r c h y   I d e n t i f i e r s & l t ; / K e y & g t ; & l t ; / a : K e y & g t ; & l t ; a : V a l u e   i : t y p e = " D i a g r a m D i s p l a y B a s e V i e w S t a t e \ I D i a g r a m T a g G r o u p " / & g t ; & l t ; / a : K e y V a l u e O f D i a g r a m O b j e c t K e y a n y T y p e z b w N T n L X & g t ; & l t ; a : K e y V a l u e O f D i a g r a m O b j e c t K e y a n y T y p e z b w N T n L X & g t ; & l t ; a : K e y & g t ; & l t ; K e y & g t ; T a g G r o u p s \ T a b l e   I d e n t i f i e r s & l t ; / K e y & g t ; & l t ; / a : K e y & g t ; & l t ; a : V a l u e   i : t y p e = " D i a g r a m D i s p l a y B a s e V i e w S t a t e \ I D i a g r a m T a g G r o u p " / & g t ; & l t ; / a : K e y V a l u e O f D i a g r a m O b j e c t K e y a n y T y p e z b w N T n L X & g t ; & l t ; a : K e y V a l u e O f D i a g r a m O b j e c t K e y a n y T y p e z b w N T n L X & g t ; & l t ; a : K e y & g t ; & l t ; K e y & g t ; T a g G r o u p s \ A c t i o n   D e s c r i p t o r s & l t ; / K e y & g t ; & l t ; / a : K e y & g t ; & l t ; a : V a l u e   i : t y p e = " D i a g r a m D i s p l a y B a s e V i e w S t a t e \ I D i a g r a m T a g G r o u p " / & g t ; & l t ; / a : K e y V a l u e O f D i a g r a m O b j e c t K e y a n y T y p e z b w N T n L X & g t ; & l t ; a : K e y V a l u e O f D i a g r a m O b j e c t K e y a n y T y p e z b w N T n L X & g t ; & l t ; a : K e y & g t ; & l t ; K e y & g t ; T a g G r o u p s \ H i n t   T e x t s & l t ; / K e y & g t ; & l t ; / a : K e y & g t ; & l t ; a : V a l u e   i : t y p e = " D i a g r a m D i s p l a y B a s e 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 T a g s \ T a b l e s \ & a m p ; l t ; T a b l e s \ W i n t e r   d a i l y   s i t r e p s & a m p ; g t ; & l t ; / K e y & g t ; & l t ; / a : K e y & g t ; & l t ; a : V a l u e   i : t y p e = " D i a g r a m D i s p l a y T a g V i e w S t a t e " & g t ; & l t ; I s N o t F i l t e r e d O u t & g t ; t r u e & l t ; / I s N o t F i l t e r e d O u t & g t ; & l t ; / a : V a l u e & g t ; & l t ; / a : K e y V a l u e O f D i a g r a m O b j e c t K e y a n y T y p e z b w N T n L X & g t ; & l t ; a : K e y V a l u e O f D i a g r a m O b j e c t K e y a n y T y p e z b w N T n L X & g t ; & l t ; a : K e y & g t ; & l t ; K e y & g t ; D y n a m i c   T a g s \ T a b l e s \ & a m p ; l t ; T a b l e s \ W i n t e r   b e d   o c c   o v e r   1 4   d a y s & a m p ; g t ; & l t ; / K e y & g t ; & l t ; / a : K e y & g t ; & l t ; a : V a l u e   i : t y p e = " D i a g r a m D i s p l a y T a g V i e w S t a t e " & g t ; & l t ; I s N o t F i l t e r e d O u t & g t ; t r u e & l t ; / I s N o t F i l t e r e d O u t & g t ; & l t ; / a : V a l u e & g t ; & l t ; / a : K e y V a l u e O f D i a g r a m O b j e c t K e y a n y T y p e z b w N T n L X & g t ; & l t ; a : K e y V a l u e O f D i a g r a m O b j e c t K e y a n y T y p e z b w N T n L X & g t ; & l t ; a : K e y & g t ; & l t ; K e y & g t ; T a b l e s \ W i n t e r   d a i l y   s i t r e p s & l t ; / K e y & g t ; & l t ; / a : K e y & g t ; & l t ; a : V a l u e   i : t y p e = " D i a g r a m D i s p l a y N o d e V i e w S t a t e " & g t ; & l t ; H e i g h t & g t ; 1 5 0 & l t ; / H e i g h t & g t ; & l t ; I s E x p a n d e d & g t ; t r u e & l t ; / I s E x p a n d e d & g t ; & l t ; L a y e d O u t & g t ; t r u e & l t ; / L a y e d O u t & g t ; & l t ; S c r o l l V e r t i c a l O f f s e t & g t ; 7 5 7 . 2 9 2 6 8 2 9 2 6 8 2 9 & l t ; / S c r o l l V e r t i c a l O f f s e t & g t ; & l t ; W i d t h & g t ; 2 0 0 & l t ; / W i d t h & g t ; & l t ; / a : V a l u e & g t ; & l t ; / a : K e y V a l u e O f D i a g r a m O b j e c t K e y a n y T y p e z b w N T n L X & g t ; & l t ; a : K e y V a l u e O f D i a g r a m O b j e c t K e y a n y T y p e z b w N T n L X & g t ; & l t ; a : K e y & g t ; & l t ; K e y & g t ; T a b l e s \ W i n t e r   d a i l y   s i t r e p s \ C o l u m n s \ I D & l t ; / K e y & g t ; & l t ; / a : K e y & g t ; & l t ; a : V a l u e 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 s i t r e p s \ C o l u m n s \ c r i _ i d & l t ; / K e y & g t ; & l t ; / a : K e y & g t ; & l t ; a : V a l u e 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 s i t r e p s \ C o l u m n s \ d r _ i d & l t ; / K e y & g t ; & l t ; / a : K e y & g t ; & l t ; a : V a l u e 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 s i t r e p s \ C o l u m n s \ o r g _ i d & l t ; / K e y & g t ; & l t ; / a : K e y & g t ; & l t ; a : V a l u e 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 s i t r e p s \ C o l u m n s \ c r i _ d a t a p e r i o d s t a r t & l t ; / K e y & g t ; & l t ; / a : K e y & g t ; & l t ; a : V a l u e 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 s i t r e p s \ C o l u m n s \ C o d e & l t ; / K e y & g t ; & l t ; / a : K e y & g t ; & l t ; a : V a l u e 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 s i t r e p s \ C o l u m n s \ N a m e & l t ; / K e y & g t ; & l t ; / a : K e y & g t ; & l t ; a : V a l u e 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 s i t r e p s \ C o l u m n s \ D a t e & l t ; / K e y & g t ; & l t ; / a : K e y & g t ; & l t ; a : V a l u e 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 s i t r e p s \ C o l u m n s \ W e e k & l t ; / K e y & g t ; & l t ; / a : K e y & g t ; & l t ; a : V a l u e 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 s i t r e p s \ C o l u m n s \ D a y & l t ; / K e y & g t ; & l t ; / a : K e y & g t ; & l t ; a : V a l u e 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 s i t r e p s \ C o l u m n s \ B a n k   h o l i d a y & l t ; / K e y & g t ; & l t ; / a : K e y & g t ; & l t ; a : V a l u e 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 c l o s u r e s & l t ; / K e y & g t ; & l t ; / a : K e y & g t ; & l t ; a : V a l u e 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 d i v e r t s & l t ; / K e y & g t ; & l t ; / a : K e y & g t ; & l t ; a : V a l u e 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 t y p e   1   a t t e n d a n c e s & l t ; / K e y & g t ; & l t ; / a : K e y & g t ; & l t ; a : V a l u e 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 t y p e   2   a t t e n d a n c e s & l t ; / K e y & g t ; & l t ; / a : K e y & g t ; & l t ; a : V a l u e 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 t y p e   3   a t t e n d a n c e s & l t ; / K e y & g t ; & l t ; / a : K e y & g t ; & l t ; a : V a l u e 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 t o t a l   a t t e n d a n c e s & l t ; / K e y & g t ; & l t ; / a : K e y & g t ; & l t ; a : V a l u e 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 s i t r e p s \ C o l u m n s \ E m e r g e n c y   a d m i s s i o n s & l t ; / K e y & g t ; & l t ; / a : K e y & g t ; & l t ; a : V a l u e 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 s i t r e p s \ C o l u m n s \ G A   c o r e 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 s i t r e p s \ C o l u m n s \ G A   e s c a l a t i o n 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 s i t r e p s \ C o l u m n s \ G A   t o t a l 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 s i t r e p s \ C o l u m n s \ G A   t o t a l   b e d s   o c c u p i e d & l t ; / K e y & g t ; & l t ; / a : K e y & g t ; & l t ; a : V a l u e 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 s i t r e p s \ C o l u m n s \ B e d s   c l o s e d   n o r o v i r u s & l t ; / K e y & g t ; & l t ; / a : K e y & g t ; & l t ; a : V a l u e 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 s i t r e p s \ C o l u m n s \ B e d s   c l o s e d   n o r o v i u s   u n o c c & l t ; / K e y & g t ; & l t ; / a : K e y & g t ; & l t ; a : V a l u e 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 s i t r e p s \ C o l u m n s \ A d u l t   C C 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 s i t r e p s \ C o l u m n s \ A d u l t   C C   b e d s 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 s i t r e p s \ C o l u m n s \ P a e d   I n t   C a r e 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 s i t r e p s \ C o l u m n s \ P a e d   I n t   C a r e 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 s i t r e p s \ C o l u m n s \ N e o   I n t   C a r e 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 s i t r e p s \ C o l u m n s \ N e o   I n t   C a r e 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 s i t r e p s \ C o l u m n s \ O P E L   3   o r   a b o v e & l t ; / K e y & g t ; & l t ; / a : K e y & g t ; & l t ; a : V a l u e 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 s i t r e p s \ C o l u m n s \ W e e k e n d & l t ; / K e y & g t ; & l t ; / a : K e y & g t ; & l t ; a : V a l u e 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 s i t r e p s \ C o l u m n s \ R e g i o n & l t ; / K e y & g t ; & l t ; / a : K e y & g t ; & l t ; a : V a l u e 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 s i t r e p s \ C o l u m n s \ Y e a r & l t ; / K e y & g t ; & l t ; / a : K e y & g t ; & l t ; a : V a l u e 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 s i t r e p s \ C o l u m n s \ B e d s   o c c   o v e r   7   d a y s & l t ; / K e y & g t ; & l t ; / a : K e y & g t ; & l t ; a : V a l u e 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 s i t r e p s \ C o l u m n s \ B e d s   o c c   o v e r   2 1   d a y s & l t ; / K e y & g t ; & l t ; / a : K e y & g t ; & l t ; a : V a l u e 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 s i t r e p s \ C o l u m n s \ A m b   a r r i v a l s & l t ; / K e y & g t ; & l t ; / a : K e y & g t ; & l t ; a : V a l u e 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 s i t r e p s \ C o l u m n s \ A m b   d e l a y s   3 0 - 6 0   m i n s & l t ; / K e y & g t ; & l t ; / a : K e y & g t ; & l t ; a : V a l u e 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 s i t r e p s \ C o l u m n s \ A m b   d e l a y s   o v e r   6 0   m i n s & l t ; / K e y & g t ; & l t ; / a : K e y & g t ; & l t ; a : V a l u e 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 s i t r e p s \ C o l u m n s \ W e e k   l o n g & l t ; / K e y & g t ; & l t ; / a : K e y & g t ; & l t ; a : V a l u e 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 s i t r e p s \ C o l u m n s \ G A   b e d   o c c u p a n c y & l t ; / K e y & g t ; & l t ; / a : K e y & g t ; & l t ; a : V a l u e 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 s i t r e p s \ C o l u m n s \ B e d s   o c c   o v e r   1 4   d a y s & l t ; / K e y & g t ; & l t ; / a : K e y & g t ; & l t ; a : V a l u e   i : t y p e = " D i a g r a m D i s p l a y N o d e V i e w S t a t e " & g t ; & l t ; H e i g h t & g t ; 1 5 0 & l t ; / H e i g h t & g t ; & l t ; I s E x p a n d e d & g t ; t r u e & l t ; / I s E x p a n d e d & g t ; & l t ; W i d t h & g t ; 2 0 0 & l t ; / W i d t h & g t ; & l t ; / a : V a l u e & g t ; & l t ; / a : K e y V a l u e O f D i a g r a m O b j e c t K e y a n y T y p e z b w N T n L X & g t ; & l t ; a : K e y V a l u e O f D i a g r a m O b j e c t K e y a n y T y p e z b w N T n L X & g t ; & l t ; a : K e y & g t ; & l t ; K e y & g t ; T a b l e s \ W i n t e r   d a i l y   s i t r e p s \ M e a s u r e s \ S u m   o f   A E   d i v e r t s & l t ; / K e y & g t ; & l t ; / a : K e y & g t ; & l t ; a : V a l u e 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 A E   d i v e r t s \ A d d i t i o n a l   I n f o \ I m p l i c i t   M e a s u r e & l t ; / K e y & g t ; & l t ; / a : K e y & g t ; & l t ; a : V a l u e   i : t y p e = " D i a g r a m D i s p l a y B a s e V i e w S t a t e \ I D i a g r a m T a g A d d i t i o n a l I n f o " / & g t ; & l t ; / a : K e y V a l u e O f D i a g r a m O b j e c t K e y a n y T y p e z b w N T n L X & g t ; & l t ; a : K e y V a l u e O f D i a g r a m O b j e c t K e y a n y T y p e z b w N T n L X & g t ; & l t ; a : K e y & g t ; & l t ; K e y & g t ; T a b l e s \ W i n t e r   d a i l y   s i t r e p s \ M e a s u r e s \ S u m   o f   G A   t o t a l   b e d s   o c c u p i e d & l t ; / K e y & g t ; & l t ; / a : K e y & g t ; & l t ; a : V a l u e 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 G A   t o t a l   b e d s   o c c u p i e d \ A d d i t i o n a l   I n f o \ I m p l i c i t   M e a s u r e & l t ; / K e y & g t ; & l t ; / a : K e y & g t ; & l t ; a : V a l u e   i : t y p e = " D i a g r a m D i s p l a y B a s e V i e w S t a t e \ I D i a g r a m T a g A d d i t i o n a l I n f o " / & g t ; & l t ; / a : K e y V a l u e O f D i a g r a m O b j e c t K e y a n y T y p e z b w N T n L X & g t ; & l t ; a : K e y V a l u e O f D i a g r a m O b j e c t K e y a n y T y p e z b w N T n L X & g t ; & l t ; a : K e y & g t ; & l t ; K e y & g t ; T a b l e s \ W i n t e r   d a i l y   s i t r e p s \ M e a s u r e s \ A v e r a g e   o f   G A   t o t a l   b e d s   o c c u p i e d & l t ; / K e y & g t ; & l t ; / a : K e y & g t ; & l t ; a : V a l u e 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 G A   t o t a l   b e d s   o c c u p i e d \ A d d i t i o n a l   I n f o \ I m p l i c i t   M e a s u r e & l t ; / K e y & g t ; & l t ; / a : K e y & g t ; & l t ; a : V a l u e   i : t y p e = " D i a g r a m D i s p l a y B a s e V i e w S t a t e \ I D i a g r a m T a g A d d i t i o n a l I n f o " / & g t ; & l t ; / a : K e y V a l u e O f D i a g r a m O b j e c t K e y a n y T y p e z b w N T n L X & g t ; & l t ; a : K e y V a l u e O f D i a g r a m O b j e c t K e y a n y T y p e z b w N T n L X & g t ; & l t ; a : K e y & g t ; & l t ; K e y & g t ; T a b l e s \ W i n t e r   d a i l y   s i t r e p s \ M e a s u r e s \ S u m   o f   G A   t o t a l 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 G A   t o t a l   b e d s   a v a i l \ A d d i t i o n a l   I n f o \ I m p l i c i t   M e a s u r e & l t ; / K e y & g t ; & l t ; / a : K e y & g t ; & l t ; a : V a l u e   i : t y p e = " D i a g r a m D i s p l a y B a s e V i e w S t a t e \ I D i a g r a m T a g A d d i t i o n a l I n f o " / & g t ; & l t ; / a : K e y V a l u e O f D i a g r a m O b j e c t K e y a n y T y p e z b w N T n L X & g t ; & l t ; a : K e y V a l u e O f D i a g r a m O b j e c t K e y a n y T y p e z b w N T n L X & g t ; & l t ; a : K e y & g t ; & l t ; K e y & g t ; T a b l e s \ W i n t e r   d a i l y   s i t r e p s \ M e a s u r e s \ S u m   o f   B e d s   o c c   o v e r   7   d a y s & l t ; / K e y & g t ; & l t ; / a : K e y & g t ; & l t ; a : V a l u e 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 B e d s   o c c   o v e r   7   d a y s \ A d d i t i o n a l   I n f o \ I m p l i c i t   M e a s u r e & l t ; / K e y & g t ; & l t ; / a : K e y & g t ; & l t ; a : V a l u e   i : t y p e = " D i a g r a m D i s p l a y B a s e V i e w S t a t e \ I D i a g r a m T a g A d d i t i o n a l I n f o " / & g t ; & l t ; / a : K e y V a l u e O f D i a g r a m O b j e c t K e y a n y T y p e z b w N T n L X & g t ; & l t ; a : K e y V a l u e O f D i a g r a m O b j e c t K e y a n y T y p e z b w N T n L X & g t ; & l t ; a : K e y & g t ; & l t ; K e y & g t ; T a b l e s \ W i n t e r   d a i l y   s i t r e p s \ M e a s u r e s \ S u m   o f   B e d s   o c c   o v e r   2 1   d a y s & l t ; / K e y & g t ; & l t ; / a : K e y & g t ; & l t ; a : V a l u e 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 B e d s   o c c   o v e r   2 1   d a y s \ A d d i t i o n a l   I n f o \ I m p l i c i t   M e a s u r e & l t ; / K e y & g t ; & l t ; / a : K e y & g t ; & l t ; a : V a l u e   i : t y p e = " D i a g r a m D i s p l a y B a s e V i e w S t a t e \ I D i a g r a m T a g A d d i t i o n a l I n f o " / & g t ; & l t ; / a : K e y V a l u e O f D i a g r a m O b j e c t K e y a n y T y p e z b w N T n L X & g t ; & l t ; a : K e y V a l u e O f D i a g r a m O b j e c t K e y a n y T y p e z b w N T n L X & g t ; & l t ; a : K e y & g t ; & l t ; K e y & g t ; T a b l e s \ W i n t e r   d a i l y   s i t r e p s \ M e a s u r e s \ A v e r a g e   o f   B e d s   o c c   o v e r   2 1   d a y s & l t ; / K e y & g t ; & l t ; / a : K e y & g t ; & l t ; a : V a l u e 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 B e d s   o c c   o v e r   2 1   d a y s \ A d d i t i o n a l   I n f o \ I m p l i c i t   M e a s u r e & l t ; / K e y & g t ; & l t ; / a : K e y & g t ; & l t ; a : V a l u e   i : t y p e = " D i a g r a m D i s p l a y B a s e V i e w S t a t e \ I D i a g r a m T a g A d d i t i o n a l I n f o " / & g t ; & l t ; / a : K e y V a l u e O f D i a g r a m O b j e c t K e y a n y T y p e z b w N T n L X & g t ; & l t ; a : K e y V a l u e O f D i a g r a m O b j e c t K e y a n y T y p e z b w N T n L X & g t ; & l t ; a : K e y & g t ; & l t ; K e y & g t ; T a b l e s \ W i n t e r   d a i l y   s i t r e p s \ M e a s u r e s \ S u m   o f   B e d s   c l o s e d   n o r o v i r u s & l t ; / K e y & g t ; & l t ; / a : K e y & g t ; & l t ; a : V a l u e 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 B e d s   c l o s e d   n o r o v i r u s \ A d d i t i o n a l   I n f o \ I m p l i c i t   M e a s u r e & l t ; / K e y & g t ; & l t ; / a : K e y & g t ; & l t ; a : V a l u e   i : t y p e = " D i a g r a m D i s p l a y B a s e V i e w S t a t e \ I D i a g r a m T a g A d d i t i o n a l I n f o " / & g t ; & l t ; / a : K e y V a l u e O f D i a g r a m O b j e c t K e y a n y T y p e z b w N T n L X & g t ; & l t ; a : K e y V a l u e O f D i a g r a m O b j e c t K e y a n y T y p e z b w N T n L X & g t ; & l t ; a : K e y & g t ; & l t ; K e y & g t ; T a b l e s \ W i n t e r   d a i l y   s i t r e p s \ M e a s u r e s \ A v e r a g e   o f   B e d s   c l o s e d   n o r o v i r u s & l t ; / K e y & g t ; & l t ; / a : K e y & g t ; & l t ; a : V a l u e 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 B e d s   c l o s e d   n o r o v i r u s \ A d d i t i o n a l   I n f o \ I m p l i c i t   M e a s u r e & l t ; / K e y & g t ; & l t ; / a : K e y & g t ; & l t ; a : V a l u e   i : t y p e = " D i a g r a m D i s p l a y B a s e V i e w S t a t e \ I D i a g r a m T a g A d d i t i o n a l I n f o " / & g t ; & l t ; / a : K e y V a l u e O f D i a g r a m O b j e c t K e y a n y T y p e z b w N T n L X & g t ; & l t ; a : K e y V a l u e O f D i a g r a m O b j e c t K e y a n y T y p e z b w N T n L X & g t ; & l t ; a : K e y & g t ; & l t ; K e y & g t ; T a b l e s \ W i n t e r   d a i l y   s i t r e p s \ M e a s u r e s \ S u m   o f   B e d s   c l o s e d   n o r o v i u s   u n o c c & l t ; / K e y & g t ; & l t ; / a : K e y & g t ; & l t ; a : V a l u e 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 B e d s   c l o s e d   n o r o v i u s   u n o c c \ A d d i t i o n a l   I n f o \ I m p l i c i t   M e a s u r e & l t ; / K e y & g t ; & l t ; / a : K e y & g t ; & l t ; a : V a l u e   i : t y p e = " D i a g r a m D i s p l a y B a s e V i e w S t a t e \ I D i a g r a m T a g A d d i t i o n a l I n f o " / & g t ; & l t ; / a : K e y V a l u e O f D i a g r a m O b j e c t K e y a n y T y p e z b w N T n L X & g t ; & l t ; a : K e y V a l u e O f D i a g r a m O b j e c t K e y a n y T y p e z b w N T n L X & g t ; & l t ; a : K e y & g t ; & l t ; K e y & g t ; T a b l e s \ W i n t e r   d a i l y   s i t r e p s \ M e a s u r e s \ S u m   o f   A m b   a r r i v a l s & l t ; / K e y & g t ; & l t ; / a : K e y & g t ; & l t ; a : V a l u e 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 A m b   a r r i v a l s \ A d d i t i o n a l   I n f o \ I m p l i c i t   M e a s u r e & l t ; / K e y & g t ; & l t ; / a : K e y & g t ; & l t ; a : V a l u e   i : t y p e = " D i a g r a m D i s p l a y B a s e V i e w S t a t e \ I D i a g r a m T a g A d d i t i o n a l I n f o " / & g t ; & l t ; / a : K e y V a l u e O f D i a g r a m O b j e c t K e y a n y T y p e z b w N T n L X & g t ; & l t ; a : K e y V a l u e O f D i a g r a m O b j e c t K e y a n y T y p e z b w N T n L X & g t ; & l t ; a : K e y & g t ; & l t ; K e y & g t ; T a b l e s \ W i n t e r   d a i l y   s i t r e p s \ M e a s u r e s \ S u m   o f   A m b   d e l a y s   3 0 - 6 0   m i n s & l t ; / K e y & g t ; & l t ; / a : K e y & g t ; & l t ; a : V a l u e 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 A m b   d e l a y s   3 0 - 6 0   m i n s \ A d d i t i o n a l   I n f o \ I m p l i c i t   M e a s u r e & l t ; / K e y & g t ; & l t ; / a : K e y & g t ; & l t ; a : V a l u e   i : t y p e = " D i a g r a m D i s p l a y B a s e V i e w S t a t e \ I D i a g r a m T a g A d d i t i o n a l I n f o " / & g t ; & l t ; / a : K e y V a l u e O f D i a g r a m O b j e c t K e y a n y T y p e z b w N T n L X & g t ; & l t ; a : K e y V a l u e O f D i a g r a m O b j e c t K e y a n y T y p e z b w N T n L X & g t ; & l t ; a : K e y & g t ; & l t ; K e y & g t ; T a b l e s \ W i n t e r   d a i l y   s i t r e p s \ M e a s u r e s \ S u m   o f   A m b   d e l a y s   o v e r   6 0   m i n s & l t ; / K e y & g t ; & l t ; / a : K e y & g t ; & l t ; a : V a l u e 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 A m b   d e l a y s   o v e r   6 0   m i n s \ A d d i t i o n a l   I n f o \ I m p l i c i t   M e a s u r e & l t ; / K e y & g t ; & l t ; / a : K e y & g t ; & l t ; a : V a l u e   i : t y p e = " D i a g r a m D i s p l a y B a s e V i e w S t a t e \ I D i a g r a m T a g A d d i t i o n a l I n f o " / & g t ; & l t ; / a : K e y V a l u e O f D i a g r a m O b j e c t K e y a n y T y p e z b w N T n L X & g t ; & l t ; a : K e y V a l u e O f D i a g r a m O b j e c t K e y a n y T y p e z b w N T n L X & g t ; & l t ; a : K e y & g t ; & l t ; K e y & g t ; T a b l e s \ W i n t e r   d a i l y   s i t r e p s \ M e a s u r e s \ S u m   o f   A d u l t   C C 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 A d u l t   C C   b e d s   a v a i l \ A d d i t i o n a l   I n f o \ I m p l i c i t   M e a s u r e & l t ; / K e y & g t ; & l t ; / a : K e y & g t ; & l t ; a : V a l u e   i : t y p e = " D i a g r a m D i s p l a y B a s e V i e w S t a t e \ I D i a g r a m T a g A d d i t i o n a l I n f o " / & g t ; & l t ; / a : K e y V a l u e O f D i a g r a m O b j e c t K e y a n y T y p e z b w N T n L X & g t ; & l t ; a : K e y V a l u e O f D i a g r a m O b j e c t K e y a n y T y p e z b w N T n L X & g t ; & l t ; a : K e y & g t ; & l t ; K e y & g t ; T a b l e s \ W i n t e r   d a i l y   s i t r e p s \ M e a s u r e s \ S u m   o f   A d u l t   C C   b e d s 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 A d u l t   C C   b e d s   o c c \ A d d i t i o n a l   I n f o \ I m p l i c i t   M e a s u r e & l t ; / K e y & g t ; & l t ; / a : K e y & g t ; & l t ; a : V a l u e   i : t y p e = " D i a g r a m D i s p l a y B a s e V i e w S t a t e \ I D i a g r a m T a g A d d i t i o n a l I n f o " / & g t ; & l t ; / a : K e y V a l u e O f D i a g r a m O b j e c t K e y a n y T y p e z b w N T n L X & g t ; & l t ; a : K e y V a l u e O f D i a g r a m O b j e c t K e y a n y T y p e z b w N T n L X & g t ; & l t ; a : K e y & g t ; & l t ; K e y & g t ; T a b l e s \ W i n t e r   d a i l y   s i t r e p s \ M e a s u r e s \ S u m   o f   P a e d   I n t   C a r e 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 P a e d   I n t   C a r e   A v a i l \ A d d i t i o n a l   I n f o \ I m p l i c i t   M e a s u r e & l t ; / K e y & g t ; & l t ; / a : K e y & g t ; & l t ; a : V a l u e   i : t y p e = " D i a g r a m D i s p l a y B a s e V i e w S t a t e \ I D i a g r a m T a g A d d i t i o n a l I n f o " / & g t ; & l t ; / a : K e y V a l u e O f D i a g r a m O b j e c t K e y a n y T y p e z b w N T n L X & g t ; & l t ; a : K e y V a l u e O f D i a g r a m O b j e c t K e y a n y T y p e z b w N T n L X & g t ; & l t ; a : K e y & g t ; & l t ; K e y & g t ; T a b l e s \ W i n t e r   d a i l y   s i t r e p s \ M e a s u r e s \ S u m   o f   P a e d   I n t   C a r e 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 P a e d   I n t   C a r e   O c c \ A d d i t i o n a l   I n f o \ I m p l i c i t   M e a s u r e & l t ; / K e y & g t ; & l t ; / a : K e y & g t ; & l t ; a : V a l u e   i : t y p e = " D i a g r a m D i s p l a y B a s e V i e w S t a t e \ I D i a g r a m T a g A d d i t i o n a l I n f o " / & g t ; & l t ; / a : K e y V a l u e O f D i a g r a m O b j e c t K e y a n y T y p e z b w N T n L X & g t ; & l t ; a : K e y V a l u e O f D i a g r a m O b j e c t K e y a n y T y p e z b w N T n L X & g t ; & l t ; a : K e y & g t ; & l t ; K e y & g t ; T a b l e s \ W i n t e r   d a i l y   s i t r e p s \ M e a s u r e s \ S u m   o f   N e o   I n t   C a r e 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 N e o   I n t   C a r e   A v a i l \ A d d i t i o n a l   I n f o \ I m p l i c i t   M e a s u r e & l t ; / K e y & g t ; & l t ; / a : K e y & g t ; & l t ; a : V a l u e   i : t y p e = " D i a g r a m D i s p l a y B a s e V i e w S t a t e \ I D i a g r a m T a g A d d i t i o n a l I n f o " / & g t ; & l t ; / a : K e y V a l u e O f D i a g r a m O b j e c t K e y a n y T y p e z b w N T n L X & g t ; & l t ; a : K e y V a l u e O f D i a g r a m O b j e c t K e y a n y T y p e z b w N T n L X & g t ; & l t ; a : K e y & g t ; & l t ; K e y & g t ; T a b l e s \ W i n t e r   d a i l y   s i t r e p s \ M e a s u r e s \ S u m   o f   N e o   I n t   C a r e 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 N e o   I n t   C a r e   o c c \ A d d i t i o n a l   I n f o \ I m p l i c i t   M e a s u r e & l t ; / K e y & g t ; & l t ; / a : K e y & g t ; & l t ; a : V a l u e   i : t y p e = " D i a g r a m D i s p l a y B a s e V i e w S t a t e \ I D i a g r a m T a g A d d i t i o n a l I n f o " / & g t ; & l t ; / a : K e y V a l u e O f D i a g r a m O b j e c t K e y a n y T y p e z b w N T n L X & g t ; & l t ; a : K e y V a l u e O f D i a g r a m O b j e c t K e y a n y T y p e z b w N T n L X & g t ; & l t ; a : K e y & g t ; & l t ; K e y & g t ; T a b l e s \ W i n t e r   d a i l y   s i t r e p s \ M e a s u r e s \ A v e r a g e   o f   N e o   I n t   C a r e 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 N e o   I n t   C a r e   A v a i l \ A d d i t i o n a l   I n f o \ I m p l i c i t   M e a s u r e & l t ; / K e y & g t ; & l t ; / a : K e y & g t ; & l t ; a : V a l u e   i : t y p e = " D i a g r a m D i s p l a y B a s e V i e w S t a t e \ I D i a g r a m T a g A d d i t i o n a l I n f o " / & g t ; & l t ; / a : K e y V a l u e O f D i a g r a m O b j e c t K e y a n y T y p e z b w N T n L X & g t ; & l t ; a : K e y V a l u e O f D i a g r a m O b j e c t K e y a n y T y p e z b w N T n L X & g t ; & l t ; a : K e y & g t ; & l t ; K e y & g t ; T a b l e s \ W i n t e r   d a i l y   s i t r e p s \ M e a s u r e s \ A v e r a g e   o f   N e o   I n t   C a r e 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 N e o   I n t   C a r e   o c c \ A d d i t i o n a l   I n f o \ I m p l i c i t   M e a s u r e & l t ; / K e y & g t ; & l t ; / a : K e y & g t ; & l t ; a : V a l u e   i : t y p e = " D i a g r a m D i s p l a y B a s e V i e w S t a t e \ I D i a g r a m T a g A d d i t i o n a l I n f o " / & g t ; & l t ; / a : K e y V a l u e O f D i a g r a m O b j e c t K e y a n y T y p e z b w N T n L X & g t ; & l t ; a : K e y V a l u e O f D i a g r a m O b j e c t K e y a n y T y p e z b w N T n L X & g t ; & l t ; a : K e y & g t ; & l t ; K e y & g t ; T a b l e s \ W i n t e r   d a i l y   s i t r e p s \ M e a s u r e s \ S u m   o f   G A   b e d   o c c u p a n c y & l t ; / K e y & g t ; & l t ; / a : K e y & g t ; & l t ; a : V a l u e 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 G A   b e d   o c c u p a n c y \ A d d i t i o n a l   I n f o \ I m p l i c i t   M e a s u r e & l t ; / K e y & g t ; & l t ; / a : K e y & g t ; & l t ; a : V a l u e   i : t y p e = " D i a g r a m D i s p l a y B a s e V i e w S t a t e \ I D i a g r a m T a g A d d i t i o n a l I n f o " / & g t ; & l t ; / a : K e y V a l u e O f D i a g r a m O b j e c t K e y a n y T y p e z b w N T n L X & g t ; & l t ; a : K e y V a l u e O f D i a g r a m O b j e c t K e y a n y T y p e z b w N T n L X & g t ; & l t ; a : K e y & g t ; & l t ; K e y & g t ; T a b l e s \ W i n t e r   d a i l y   s i t r e p s \ M e a s u r e s \ A v e r a g e   o f   G A   b e d   o c c u p a n c y & l t ; / K e y & g t ; & l t ; / a : K e y & g t ; & l t ; a : V a l u e 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 G A   b e d   o c c u p a n c y \ A d d i t i o n a l   I n f o \ I m p l i c i t   M e a s u r e & l t ; / K e y & g t ; & l t ; / a : K e y & g t ; & l t ; a : V a l u e   i : t y p e = " D i a g r a m D i s p l a y B a s e V i e w S t a t e \ I D i a g r a m T a g A d d i t i o n a l I n f o " / & g t ; & l t ; / a : K e y V a l u e O f D i a g r a m O b j e c t K e y a n y T y p e z b w N T n L X & g t ; & l t ; a : K e y V a l u e O f D i a g r a m O b j e c t K e y a n y T y p e z b w N T n L X & g t ; & l t ; a : K e y & g t ; & l t ; K e y & g t ; T a b l e s \ W i n t e r   d a i l y   s i t r e p s \ M e a s u r e s \ S u m   o f   G A   c o r e 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 G A   c o r e   b e d s   a v a i l \ A d d i t i o n a l   I n f o \ I m p l i c i t   M e a s u r e & l t ; / K e y & g t ; & l t ; / a : K e y & g t ; & l t ; a : V a l u e   i : t y p e = " D i a g r a m D i s p l a y B a s e V i e w S t a t e \ I D i a g r a m T a g A d d i t i o n a l I n f o " / & g t ; & l t ; / a : K e y V a l u e O f D i a g r a m O b j e c t K e y a n y T y p e z b w N T n L X & g t ; & l t ; a : K e y V a l u e O f D i a g r a m O b j e c t K e y a n y T y p e z b w N T n L X & g t ; & l t ; a : K e y & g t ; & l t ; K e y & g t ; T a b l e s \ W i n t e r   d a i l y   s i t r e p s \ M e a s u r e s \ S u m   o f   G A   e s c a l a t i o n 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 G A   e s c a l a t i o n   b e d s   a v a i l \ A d d i t i o n a l   I n f o \ I m p l i c i t   M e a s u r e & l t ; / K e y & g t ; & l t ; / a : K e y & g t ; & l t ; a : V a l u e   i : t y p e = " D i a g r a m D i s p l a y B a s e V i e w S t a t e \ I D i a g r a m T a g A d d i t i o n a l I n f o " / & g t ; & l t ; / a : K e y V a l u e O f D i a g r a m O b j e c t K e y a n y T y p e z b w N T n L X & g t ; & l t ; a : K e y V a l u e O f D i a g r a m O b j e c t K e y a n y T y p e z b w N T n L X & g t ; & l t ; a : K e y & g t ; & l t ; K e y & g t ; T a b l e s \ W i n t e r   d a i l y   s i t r e p s \ M e a s u r e s \ S u m   o f   B e d s   o c c   o v e r   1 4   d a y s   2 & l t ; / K e y & g t ; & l t ; / a : K e y & g t ; & l t ; a : V a l u e 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 B e d s   o c c   o v e r   1 4   d a y s   2 \ A d d i t i o n a l   I n f o \ I m p l i c i t   M e a s u r e & l t ; / K e y & g t ; & l t ; / a : K e y & g t ; & l t ; a : V a l u e   i : t y p e = " D i a g r a m D i s p l a y B a s e V i e w S t a t e \ I D i a g r a m T a g A d d i t i o n a l I n f o " / & g t ; & l t ; / a : K e y V a l u e O f D i a g r a m O b j e c t K e y a n y T y p e z b w N T n L X & g t ; & l t ; a : K e y V a l u e O f D i a g r a m O b j e c t K e y a n y T y p e z b w N T n L X & g t ; & l t ; a : K e y & g t ; & l t ; K e y & g t ; T a b l e s \ W i n t e r   b e d   o c c   o v e r   1 4   d a y s & l t ; / K e y & g t ; & l t ; / a : K e y & g t ; & l t ; a : V a l u e   i : t y p e = " D i a g r a m D i s p l a y N o d e V i e w S t a t e " & g t ; & l t ; H e i g h t & g t ; 1 5 0 & l t ; / H e i g h t & g t ; & l t ; I s E x p a n d e d & g t ; t r u e & l t ; / I s E x p a n d e d & g t ; & l t ; L a y e d O u t & g t ; t r u e & l t ; / L a y e d O u t & g t ; & l t ; L e f t & g t ; 3 2 9 . 9 0 3 8 1 0 5 6 7 6 6 5 8 & l t ; / L e f t & g t ; & l t ; S c r o l l V e r t i c a l O f f s e t & g t ; 5 9 5 & l t ; / S c r o l l V e r t i c a l O f f s e t & g t ; & l t ; T a b I n d e x & g t ; 1 & l t ; / T a b I n d e x & g t ; & l t ; W i d t h & g t ; 2 0 0 & l t ; / W i d t h & g t ; & l t ; / a : V a l u e & g t ; & l t ; / a : K e y V a l u e O f D i a g r a m O b j e c t K e y a n y T y p e z b w N T n L X & g t ; & l t ; a : K e y V a l u e O f D i a g r a m O b j e c t K e y a n y T y p e z b w N T n L X & g t ; & l t ; a : K e y & g t ; & l t ; K e y & g t ; T a b l e s \ W i n t e r   b e d   o c c   o v e r   1 4   d a y s \ C o l u m n s \ R e g i o n & l t ; / K e y & g t ; & l t ; / a : K e y & g t ; & l t ; a : V a l u e 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 d a y s \ C o l u m n s \ C o d e & l t ; / K e y & g t ; & l t ; / a : K e y & g t ; & l t ; a : V a l u e 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 d a y s \ C o l u m n s \ N a m e & l t ; / K e y & g t ; & l t ; / a : K e y & g t ; & l t ; a : V a l u e 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 d a y s \ C o l u m n s \ Y e a r & l t ; / K e y & g t ; & l t ; / a : K e y & g t ; & l t ; a : V a l u e 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 d a y s \ C o l u m n s \ D a t e & l t ; / K e y & g t ; & l t ; / a : K e y & g t ; & l t ; a : V a l u e 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 d a y s \ C o l u m n s \ W e e k & l t ; / K e y & g t ; & l t ; / a : K e y & g t ; & l t ; a : V a l u e 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 d a y s \ C o l u m n s \ D a y & l t ; / K e y & g t ; & l t ; / a : K e y & g t ; & l t ; a : V a l u e 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 d a y s \ C o l u m n s \ W e e k e n d & l t ; / K e y & g t ; & l t ; / a : K e y & g t ; & l t ; a : V a l u e 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 d a y s \ C o l u m n s \ B a n k   h o l i d a y & l t ; / K e y & g t ; & l t ; / a : K e y & g t ; & l t ; a : V a l u e 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  E   c l o s u r e s & l t ; / K e y & g t ; & l t ; / a : K e y & g t ; & l t ; a : V a l u e 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  E   d i v e r t s & l t ; / K e y & g t ; & l t ; / a : K e y & g t ; & l t ; a : V a l u e 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 d a y s \ C o l u m n s \ G   A   c o r e   b e d s 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 d a y s \ C o l u m n s \ G   A   e s c a l a t i o n   b e d s 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 d a y s \ C o l u m n s \ G   A   t o t a l   b e d s 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 d a y s \ C o l u m n s \ G   A   t o t a l   b e d s   o c c u p i e d & l t ; / K e y & g t ; & l t ; / a : K e y & g t ; & l t ; a : V a l u e 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 d a y s \ C o l u m n s \ B e d s   o c c   o v e r   7   d a y s & l t ; / K e y & g t ; & l t ; / a : K e y & g t ; & l t ; a : V a l u e 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 d a y s \ C o l u m n s \ B e d s   o c c   o v e r   2 1   d a y s & l t ; / K e y & g t ; & l t ; / a : K e y & g t ; & l t ; a : V a l u e 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 d a y s \ C o l u m n s \ B e d s   c l o s e d   n o r o v i r u s & l t ; / K e y & g t ; & l t ; / a : K e y & g t ; & l t ; a : V a l u e 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 d a y s \ C o l u m n s \ B e d s   c l o s e d   n o r o v i u s   u n o c c & l t ; / K e y & g t ; & l t ; / a : K e y & g t ; & l t ; a : V a l u e 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 d a y s \ C o l u m n s \ A d u l t   C C   b e d s 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 d a y s \ C o l u m n s \ A d u l t   C C   b e d s   o c c & l t ; / K e y & g t ; & l t ; / a : K e y & g t ; & l t ; a : V a l u e 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 d a y s \ C o l u m n s \ P a e d   I n t   C a r e 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 d a y s \ C o l u m n s \ P a e d   I n t   C a r e   O c c & l t ; / K e y & g t ; & l t ; / a : K e y & g t ; & l t ; a : V a l u e 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 d a y s \ C o l u m n s \ N e o   I n t   C a r e 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 d a y s \ C o l u m n s \ N e o   I n t   C a r e   o c c & l t ; / K e y & g t ; & l t ; / a : K e y & g t ; & l t ; a : V a l u e 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 d a y s \ C o l u m n s \ A m b   a r r i v a l s & l t ; / K e y & g t ; & l t ; / a : K e y & g t ; & l t ; a : V a l u e 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 d a y s \ C o l u m n s \ A m b   d e l a y s   3 0 - 6 0   m i n s & l t ; / K e y & g t ; & l t ; / a : K e y & g t ; & l t ; a : V a l u e 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 d a y s \ C o l u m n s \ A m b   d e l a y s   o v e r   6 0   m i n s & l t ; / K e y & g t ; & l t ; / a : K e y & g t ; & l t ; a : V a l u e 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 d a y s \ C o l u m n s \ B e d s   o c c   o v e r   1 4   d a y s & l t ; / K e y & g t ; & l t ; / a : K e y & g t ; & l t ; a : V a l u e 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 d a y s \ M e a s u r e s \ S u m   o f   B e d s   o c c   o v e r   1 4   d a y s & l t ; / K e y & g t ; & l t ; / a : K e y & g t ; & l t ; a : V a l u e 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 d a y s \ S u m   o f   B e d s   o c c   o v e r   1 4   d a y s \ A d d i t i o n a l   I n f o \ I m p l i c i t   M e a s u r e & l t ; / K e y & g t ; & l t ; / a : K e y & g t ; & l t ; a : V a l u e   i : t y p e = " D i a g r a m D i s p l a y B a s e V i e w S t a t e \ I D i a g r a m T a g A d d i t i o n a l I n f o " / & g t ; & l t ; / a : K e y V a l u e O f D i a g r a m O b j e c t K e y a n y T y p e z b w N T n L X & g t ; & l t ; / V i e w S t a t e s & g t ; & l t ; / D i a g r a m M a n a g e r . S e r i a l i z a b l e D i a g r a m & g t ; & l t ; D i a g r a m M a n a g e r . S e r i a l i z a b l e D i a g r a m & g t ; & l t ; A d a p t e r   i : t y p e = " M e a s u r e D i a g r a m S a n d b o x A d a p t e r " & g t ; & l t ; T a b l e N a m e & g t ; W i n t e r   d a i l y   s i t r e p s & l t ; / T a b l e N a m e & g t ; & l t ; / A d a p t e r & g t ; & l t ; D i a g r a m T y p e & g t ; M e a s u r e D i a g r a m & l t ; / D i a g r a m T y p e & g t ; & l t ; D i s p l a y C o n t e x t 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 d a i l y   s i t r e p s & l t ; / T a b l e N a m e & g t ; & l t ; / K e y & g t ; & l t ; M a i n t a i n e r 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 A E   d i v e r t s & l t ; / K e y & g t ; & l t ; / D i a g r a m O b j e c t K e y & g t ; & l t ; D i a g r a m O b j e c t K e y & g t ; & l t ; K e y & g t ; M e a s u r e s \ S u m   o f   A E   d i v e r t s \ T a g I n f o \ F o r m u l a & l t ; / K e y & g t ; & l t ; / D i a g r a m O b j e c t K e y & g t ; & l t ; D i a g r a m O b j e c t K e y & g t ; & l t ; K e y & g t ; M e a s u r e s \ S u m   o f   A E   d i v e r t s \ T a g I n f o \ V a l u e & l t ; / K e y & g t ; & l t ; / D i a g r a m O b j e c t K e y & g t ; & l t ; D i a g r a m O b j e c t K e y & g t ; & l t ; K e y & g t ; M e a s u r e s \ S u m   o f   G A   t o t a l   b e d s   o c c u p i e d & l t ; / K e y & g t ; & l t ; / D i a g r a m O b j e c t K e y & g t ; & l t ; D i a g r a m O b j e c t K e y & g t ; & l t ; K e y & g t ; M e a s u r e s \ S u m   o f   G A   t o t a l   b e d s   o c c u p i e d \ T a g I n f o \ F o r m u l a & l t ; / K e y & g t ; & l t ; / D i a g r a m O b j e c t K e y & g t ; & l t ; D i a g r a m O b j e c t K e y & g t ; & l t ; K e y & g t ; M e a s u r e s \ S u m   o f   G A   t o t a l   b e d s   o c c u p i e d \ T a g I n f o \ V a l u e & l t ; / K e y & g t ; & l t ; / D i a g r a m O b j e c t K e y & g t ; & l t ; D i a g r a m O b j e c t K e y & g t ; & l t ; K e y & g t ; M e a s u r e s \ A v e r a g e   o f   G A   t o t a l   b e d s   o c c u p i e d & l t ; / K e y & g t ; & l t ; / D i a g r a m O b j e c t K e y & g t ; & l t ; D i a g r a m O b j e c t K e y & g t ; & l t ; K e y & g t ; M e a s u r e s \ A v e r a g e   o f   G A   t o t a l   b e d s   o c c u p i e d \ T a g I n f o \ F o r m u l a & l t ; / K e y & g t ; & l t ; / D i a g r a m O b j e c t K e y & g t ; & l t ; D i a g r a m O b j e c t K e y & g t ; & l t ; K e y & g t ; M e a s u r e s \ A v e r a g e   o f   G A   t o t a l   b e d s   o c c u p i e d \ T a g I n f o \ V a l u e & l t ; / K e y & g t ; & l t ; / D i a g r a m O b j e c t K e y & g t ; & l t ; D i a g r a m O b j e c t K e y & g t ; & l t ; K e y & g t ; M e a s u r e s \ S u m   o f   G A   t o t a l   b e d s   a v a i l & l t ; / K e y & g t ; & l t ; / D i a g r a m O b j e c t K e y & g t ; & l t ; D i a g r a m O b j e c t K e y & g t ; & l t ; K e y & g t ; M e a s u r e s \ S u m   o f   G A   t o t a l   b e d s   a v a i l \ T a g I n f o \ F o r m u l a & l t ; / K e y & g t ; & l t ; / D i a g r a m O b j e c t K e y & g t ; & l t ; D i a g r a m O b j e c t K e y & g t ; & l t ; K e y & g t ; M e a s u r e s \ S u m   o f   G A   t o t a l   b e d s   a v a i l \ T a g I n f o \ V a l u e & l t ; / K e y & g t ; & l t ; / D i a g r a m O b j e c t K e y & g t ; & l t ; D i a g r a m O b j e c t K e y & g t ; & l t ; K e y & g t ; M e a s u r e s \ S u m   o f   B e d s   o c c   o v e r   7   d a y s & l t ; / K e y & g t ; & l t ; / D i a g r a m O b j e c t K e y & g t ; & l t ; D i a g r a m O b j e c t K e y & g t ; & l t ; K e y & g t ; M e a s u r e s \ S u m   o f   B e d s   o c c   o v e r   7   d a y s \ T a g I n f o \ F o r m u l a & l t ; / K e y & g t ; & l t ; / D i a g r a m O b j e c t K e y & g t ; & l t ; D i a g r a m O b j e c t K e y & g t ; & l t ; K e y & g t ; M e a s u r e s \ S u m   o f   B e d s   o c c   o v e r   7   d a y s \ T a g I n f o \ V a l u e & l t ; / K e y & g t ; & l t ; / D i a g r a m O b j e c t K e y & g t ; & l t ; D i a g r a m O b j e c t K e y & g t ; & l t ; K e y & g t ; M e a s u r e s \ S u m   o f   B e d s   o c c   o v e r   2 1   d a y s & l t ; / K e y & g t ; & l t ; / D i a g r a m O b j e c t K e y & g t ; & l t ; D i a g r a m O b j e c t K e y & g t ; & l t ; K e y & g t ; M e a s u r e s \ S u m   o f   B e d s   o c c   o v e r   2 1   d a y s \ T a g I n f o \ F o r m u l a & l t ; / K e y & g t ; & l t ; / D i a g r a m O b j e c t K e y & g t ; & l t ; D i a g r a m O b j e c t K e y & g t ; & l t ; K e y & g t ; M e a s u r e s \ S u m   o f   B e d s   o c c   o v e r   2 1   d a y s \ T a g I n f o \ V a l u e & l t ; / K e y & g t ; & l t ; / D i a g r a m O b j e c t K e y & g t ; & l t ; D i a g r a m O b j e c t K e y & g t ; & l t ; K e y & g t ; M e a s u r e s \ A v e r a g e   o f   B e d s   o c c   o v e r   2 1   d a y s & l t ; / K e y & g t ; & l t ; / D i a g r a m O b j e c t K e y & g t ; & l t ; D i a g r a m O b j e c t K e y & g t ; & l t ; K e y & g t ; M e a s u r e s \ A v e r a g e   o f   B e d s   o c c   o v e r   2 1   d a y s \ T a g I n f o \ F o r m u l a & l t ; / K e y & g t ; & l t ; / D i a g r a m O b j e c t K e y & g t ; & l t ; D i a g r a m O b j e c t K e y & g t ; & l t ; K e y & g t ; M e a s u r e s \ A v e r a g e   o f   B e d s   o c c   o v e r   2 1   d a y s \ T a g I n f o \ V a l u e & l t ; / K e y & g t ; & l t ; / D i a g r a m O b j e c t K e y & g t ; & l t ; D i a g r a m O b j e c t K e y & g t ; & l t ; K e y & g t ; M e a s u r e s \ S u m   o f   B e d s   c l o s e d   n o r o v i r u s & l t ; / K e y & g t ; & l t ; / D i a g r a m O b j e c t K e y & g t ; & l t ; D i a g r a m O b j e c t K e y & g t ; & l t ; K e y & g t ; M e a s u r e s \ S u m   o f   B e d s   c l o s e d   n o r o v i r u s \ T a g I n f o \ F o r m u l a & l t ; / K e y & g t ; & l t ; / D i a g r a m O b j e c t K e y & g t ; & l t ; D i a g r a m O b j e c t K e y & g t ; & l t ; K e y & g t ; M e a s u r e s \ S u m   o f   B e d s   c l o s e d   n o r o v i r u s \ T a g I n f o \ V a l u e & l t ; / K e y & g t ; & l t ; / D i a g r a m O b j e c t K e y & g t ; & l t ; D i a g r a m O b j e c t K e y & g t ; & l t ; K e y & g t ; M e a s u r e s \ A v e r a g e   o f   B e d s   c l o s e d   n o r o v i r u s & l t ; / K e y & g t ; & l t ; / D i a g r a m O b j e c t K e y & g t ; & l t ; D i a g r a m O b j e c t K e y & g t ; & l t ; K e y & g t ; M e a s u r e s \ A v e r a g e   o f   B e d s   c l o s e d   n o r o v i r u s \ T a g I n f o \ F o r m u l a & l t ; / K e y & g t ; & l t ; / D i a g r a m O b j e c t K e y & g t ; & l t ; D i a g r a m O b j e c t K e y & g t ; & l t ; K e y & g t ; M e a s u r e s \ A v e r a g e   o f   B e d s   c l o s e d   n o r o v i r u s \ T a g I n f o \ V a l u e & l t ; / K e y & g t ; & l t ; / D i a g r a m O b j e c t K e y & g t ; & l t ; D i a g r a m O b j e c t K e y & g t ; & l t ; K e y & g t ; M e a s u r e s \ S u m   o f   B e d s   c l o s e d   n o r o v i u s   u n o c c & l t ; / K e y & g t ; & l t ; / D i a g r a m O b j e c t K e y & g t ; & l t ; D i a g r a m O b j e c t K e y & g t ; & l t ; K e y & g t ; M e a s u r e s \ S u m   o f   B e d s   c l o s e d   n o r o v i u s   u n o c c \ T a g I n f o \ F o r m u l a & l t ; / K e y & g t ; & l t ; / D i a g r a m O b j e c t K e y & g t ; & l t ; D i a g r a m O b j e c t K e y & g t ; & l t ; K e y & g t ; M e a s u r e s \ S u m   o f   B e d s   c l o s e d   n o r o v i u s   u n o c c \ T a g I n f o \ V a l u e & l t ; / K e y & g t ; & l t ; / D i a g r a m O b j e c t K e y & g t ; & l t ; D i a g r a m O b j e c t K e y & g t ; & l t ; K e y & g t ; M e a s u r e s \ S u m   o f   A m b   a r r i v a l s & l t ; / K e y & g t ; & l t ; / D i a g r a m O b j e c t K e y & g t ; & l t ; D i a g r a m O b j e c t K e y & g t ; & l t ; K e y & g t ; M e a s u r e s \ S u m   o f   A m b   a r r i v a l s \ T a g I n f o \ F o r m u l a & l t ; / K e y & g t ; & l t ; / D i a g r a m O b j e c t K e y & g t ; & l t ; D i a g r a m O b j e c t K e y & g t ; & l t ; K e y & g t ; M e a s u r e s \ S u m   o f   A m b   a r r i v a l s \ T a g I n f o \ V a l u e & l t ; / K e y & g t ; & l t ; / D i a g r a m O b j e c t K e y & g t ; & l t ; D i a g r a m O b j e c t K e y & g t ; & l t ; K e y & g t ; M e a s u r e s \ S u m   o f   A m b   d e l a y s   3 0 - 6 0   m i n s & l t ; / K e y & g t ; & l t ; / D i a g r a m O b j e c t K e y & g t ; & l t ; D i a g r a m O b j e c t K e y & g t ; & l t ; K e y & g t ; M e a s u r e s \ S u m   o f   A m b   d e l a y s   3 0 - 6 0   m i n s \ T a g I n f o \ F o r m u l a & l t ; / K e y & g t ; & l t ; / D i a g r a m O b j e c t K e y & g t ; & l t ; D i a g r a m O b j e c t K e y & g t ; & l t ; K e y & g t ; M e a s u r e s \ S u m   o f   A m b   d e l a y s   3 0 - 6 0   m i n s \ T a g I n f o \ V a l u e & l t ; / K e y & g t ; & l t ; / D i a g r a m O b j e c t K e y & g t ; & l t ; D i a g r a m O b j e c t K e y & g t ; & l t ; K e y & g t ; M e a s u r e s \ S u m   o f   A m b   d e l a y s   o v e r   6 0   m i n s & l t ; / K e y & g t ; & l t ; / D i a g r a m O b j e c t K e y & g t ; & l t ; D i a g r a m O b j e c t K e y & g t ; & l t ; K e y & g t ; M e a s u r e s \ S u m   o f   A m b   d e l a y s   o v e r   6 0   m i n s \ T a g I n f o \ F o r m u l a & l t ; / K e y & g t ; & l t ; / D i a g r a m O b j e c t K e y & g t ; & l t ; D i a g r a m O b j e c t K e y & g t ; & l t ; K e y & g t ; M e a s u r e s \ S u m   o f   A m b   d e l a y s   o v e r   6 0   m i n s \ T a g I n f o \ V a l u e & l t ; / K e y & g t ; & l t ; / D i a g r a m O b j e c t K e y & g t ; & l t ; D i a g r a m O b j e c t K e y & g t ; & l t ; K e y & g t ; M e a s u r e s \ S u m   o f   A d u l t   C C   b e d s   a v a i l & l t ; / K e y & g t ; & l t ; / D i a g r a m O b j e c t K e y & g t ; & l t ; D i a g r a m O b j e c t K e y & g t ; & l t ; K e y & g t ; M e a s u r e s \ S u m   o f   A d u l t   C C   b e d s   a v a i l \ T a g I n f o \ F o r m u l a & l t ; / K e y & g t ; & l t ; / D i a g r a m O b j e c t K e y & g t ; & l t ; D i a g r a m O b j e c t K e y & g t ; & l t ; K e y & g t ; M e a s u r e s \ S u m   o f   A d u l t   C C   b e d s   a v a i l \ T a g I n f o \ V a l u e & l t ; / K e y & g t ; & l t ; / D i a g r a m O b j e c t K e y & g t ; & l t ; D i a g r a m O b j e c t K e y & g t ; & l t ; K e y & g t ; M e a s u r e s \ S u m   o f   A d u l t   C C   b e d s   o c c & l t ; / K e y & g t ; & l t ; / D i a g r a m O b j e c t K e y & g t ; & l t ; D i a g r a m O b j e c t K e y & g t ; & l t ; K e y & g t ; M e a s u r e s \ S u m   o f   A d u l t   C C   b e d s   o c c \ T a g I n f o \ F o r m u l a & l t ; / K e y & g t ; & l t ; / D i a g r a m O b j e c t K e y & g t ; & l t ; D i a g r a m O b j e c t K e y & g t ; & l t ; K e y & g t ; M e a s u r e s \ S u m   o f   A d u l t   C C   b e d s   o c c \ T a g I n f o \ V a l u e & l t ; / K e y & g t ; & l t ; / D i a g r a m O b j e c t K e y & g t ; & l t ; D i a g r a m O b j e c t K e y & g t ; & l t ; K e y & g t ; M e a s u r e s \ S u m   o f   P a e d   I n t   C a r e   A v a i l & l t ; / K e y & g t ; & l t ; / D i a g r a m O b j e c t K e y & g t ; & l t ; D i a g r a m O b j e c t K e y & g t ; & l t ; K e y & g t ; M e a s u r e s \ S u m   o f   P a e d   I n t   C a r e   A v a i l \ T a g I n f o \ F o r m u l a & l t ; / K e y & g t ; & l t ; / D i a g r a m O b j e c t K e y & g t ; & l t ; D i a g r a m O b j e c t K e y & g t ; & l t ; K e y & g t ; M e a s u r e s \ S u m   o f   P a e d   I n t   C a r e   A v a i l \ T a g I n f o \ V a l u e & l t ; / K e y & g t ; & l t ; / D i a g r a m O b j e c t K e y & g t ; & l t ; D i a g r a m O b j e c t K e y & g t ; & l t ; K e y & g t ; M e a s u r e s \ S u m   o f   P a e d   I n t   C a r e   O c c & l t ; / K e y & g t ; & l t ; / D i a g r a m O b j e c t K e y & g t ; & l t ; D i a g r a m O b j e c t K e y & g t ; & l t ; K e y & g t ; M e a s u r e s \ S u m   o f   P a e d   I n t   C a r e   O c c \ T a g I n f o \ F o r m u l a & l t ; / K e y & g t ; & l t ; / D i a g r a m O b j e c t K e y & g t ; & l t ; D i a g r a m O b j e c t K e y & g t ; & l t ; K e y & g t ; M e a s u r e s \ S u m   o f   P a e d   I n t   C a r e   O c c \ T a g I n f o \ V a l u e & l t ; / K e y & g t ; & l t ; / D i a g r a m O b j e c t K e y & g t ; & l t ; D i a g r a m O b j e c t K e y & g t ; & l t ; K e y & g t ; M e a s u r e s \ S u m   o f   N e o   I n t   C a r e   A v a i l & l t ; / K e y & g t ; & l t ; / D i a g r a m O b j e c t K e y & g t ; & l t ; D i a g r a m O b j e c t K e y & g t ; & l t ; K e y & g t ; M e a s u r e s \ S u m   o f   N e o   I n t   C a r e   A v a i l \ T a g I n f o \ F o r m u l a & l t ; / K e y & g t ; & l t ; / D i a g r a m O b j e c t K e y & g t ; & l t ; D i a g r a m O b j e c t K e y & g t ; & l t ; K e y & g t ; M e a s u r e s \ S u m   o f   N e o   I n t   C a r e   A v a i l \ T a g I n f o \ V a l u e & l t ; / K e y & g t ; & l t ; / D i a g r a m O b j e c t K e y & g t ; & l t ; D i a g r a m O b j e c t K e y & g t ; & l t ; K e y & g t ; M e a s u r e s \ S u m   o f   N e o   I n t   C a r e   o c c & l t ; / K e y & g t ; & l t ; / D i a g r a m O b j e c t K e y & g t ; & l t ; D i a g r a m O b j e c t K e y & g t ; & l t ; K e y & g t ; M e a s u r e s \ S u m   o f   N e o   I n t   C a r e   o c c \ T a g I n f o \ F o r m u l a & l t ; / K e y & g t ; & l t ; / D i a g r a m O b j e c t K e y & g t ; & l t ; D i a g r a m O b j e c t K e y & g t ; & l t ; K e y & g t ; M e a s u r e s \ S u m   o f   N e o   I n t   C a r e   o c c \ T a g I n f o \ V a l u e & l t ; / K e y & g t ; & l t ; / D i a g r a m O b j e c t K e y & g t ; & l t ; D i a g r a m O b j e c t K e y & g t ; & l t ; K e y & g t ; M e a s u r e s \ A v e r a g e   o f   N e o   I n t   C a r e   A v a i l & l t ; / K e y & g t ; & l t ; / D i a g r a m O b j e c t K e y & g t ; & l t ; D i a g r a m O b j e c t K e y & g t ; & l t ; K e y & g t ; M e a s u r e s \ A v e r a g e   o f   N e o   I n t   C a r e   A v a i l \ T a g I n f o \ F o r m u l a & l t ; / K e y & g t ; & l t ; / D i a g r a m O b j e c t K e y & g t ; & l t ; D i a g r a m O b j e c t K e y & g t ; & l t ; K e y & g t ; M e a s u r e s \ A v e r a g e   o f   N e o   I n t   C a r e   A v a i l \ T a g I n f o \ V a l u e & l t ; / K e y & g t ; & l t ; / D i a g r a m O b j e c t K e y & g t ; & l t ; D i a g r a m O b j e c t K e y & g t ; & l t ; K e y & g t ; M e a s u r e s \ A v e r a g e   o f   N e o   I n t   C a r e   o c c & l t ; / K e y & g t ; & l t ; / D i a g r a m O b j e c t K e y & g t ; & l t ; D i a g r a m O b j e c t K e y & g t ; & l t ; K e y & g t ; M e a s u r e s \ A v e r a g e   o f   N e o   I n t   C a r e   o c c \ T a g I n f o \ F o r m u l a & l t ; / K e y & g t ; & l t ; / D i a g r a m O b j e c t K e y & g t ; & l t ; D i a g r a m O b j e c t K e y & g t ; & l t ; K e y & g t ; M e a s u r e s \ A v e r a g e   o f   N e o   I n t   C a r e   o c c \ T a g I n f o \ V a l u e & l t ; / K e y & g t ; & l t ; / D i a g r a m O b j e c t K e y & g t ; & l t ; D i a g r a m O b j e c t K e y & g t ; & l t ; K e y & g t ; M e a s u r e s \ S u m   o f   G A   b e d   o c c u p a n c y & l t ; / K e y & g t ; & l t ; / D i a g r a m O b j e c t K e y & g t ; & l t ; D i a g r a m O b j e c t K e y & g t ; & l t ; K e y & g t ; M e a s u r e s \ S u m   o f   G A   b e d   o c c u p a n c y \ T a g I n f o \ F o r m u l a & l t ; / K e y & g t ; & l t ; / D i a g r a m O b j e c t K e y & g t ; & l t ; D i a g r a m O b j e c t K e y & g t ; & l t ; K e y & g t ; M e a s u r e s \ S u m   o f   G A   b e d   o c c u p a n c y \ T a g I n f o \ V a l u e & l t ; / K e y & g t ; & l t ; / D i a g r a m O b j e c t K e y & g t ; & l t ; D i a g r a m O b j e c t K e y & g t ; & l t ; K e y & g t ; M e a s u r e s \ A v e r a g e   o f   G A   b e d   o c c u p a n c y & l t ; / K e y & g t ; & l t ; / D i a g r a m O b j e c t K e y & g t ; & l t ; D i a g r a m O b j e c t K e y & g t ; & l t ; K e y & g t ; M e a s u r e s \ A v e r a g e   o f   G A   b e d   o c c u p a n c y \ T a g I n f o \ F o r m u l a & l t ; / K e y & g t ; & l t ; / D i a g r a m O b j e c t K e y & g t ; & l t ; D i a g r a m O b j e c t K e y & g t ; & l t ; K e y & g t ; M e a s u r e s \ A v e r a g e   o f   G A   b e d   o c c u p a n c y \ T a g I n f o \ V a l u e & l t ; / K e y & g t ; & l t ; / D i a g r a m O b j e c t K e y & g t ; & l t ; D i a g r a m O b j e c t K e y & g t ; & l t ; K e y & g t ; M e a s u r e s \ S u m   o f   G A   c o r e   b e d s   a v a i l & l t ; / K e y & g t ; & l t ; / D i a g r a m O b j e c t K e y & g t ; & l t ; D i a g r a m O b j e c t K e y & g t ; & l t ; K e y & g t ; M e a s u r e s \ S u m   o f   G A   c o r e   b e d s   a v a i l \ T a g I n f o \ F o r m u l a & l t ; / K e y & g t ; & l t ; / D i a g r a m O b j e c t K e y & g t ; & l t ; D i a g r a m O b j e c t K e y & g t ; & l t ; K e y & g t ; M e a s u r e s \ S u m   o f   G A   c o r e   b e d s   a v a i l \ T a g I n f o \ V a l u e & l t ; / K e y & g t ; & l t ; / D i a g r a m O b j e c t K e y & g t ; & l t ; D i a g r a m O b j e c t K e y & g t ; & l t ; K e y & g t ; M e a s u r e s \ S u m   o f   G A   e s c a l a t i o n   b e d s   a v a i l & l t ; / K e y & g t ; & l t ; / D i a g r a m O b j e c t K e y & g t ; & l t ; D i a g r a m O b j e c t K e y & g t ; & l t ; K e y & g t ; M e a s u r e s \ S u m   o f   G A   e s c a l a t i o n   b e d s   a v a i l \ T a g I n f o \ F o r m u l a & l t ; / K e y & g t ; & l t ; / D i a g r a m O b j e c t K e y & g t ; & l t ; D i a g r a m O b j e c t K e y & g t ; & l t ; K e y & g t ; M e a s u r e s \ S u m   o f   G A   e s c a l a t i o n   b e d s   a v a i l \ T a g I n f o \ V a l u e & l t ; / K e y & g t ; & l t ; / D i a g r a m O b j e c t K e y & g t ; & l t ; D i a g r a m O b j e c t K e y & g t ; & l t ; K e y & g t ; M e a s u r e s \ S u m   o f   B e d s   o c c   o v e r   1 4   d a y s   2 & l t ; / K e y & g t ; & l t ; / D i a g r a m O b j e c t K e y & g t ; & l t ; D i a g r a m O b j e c t K e y & g t ; & l t ; K e y & g t ; M e a s u r e s \ S u m   o f   B e d s   o c c   o v e r   1 4   d a y s   2 \ T a g I n f o \ F o r m u l a & l t ; / K e y & g t ; & l t ; / D i a g r a m O b j e c t K e y & g t ; & l t ; D i a g r a m O b j e c t K e y & g t ; & l t ; K e y & g t ; M e a s u r e s \ S u m   o f   B e d s   o c c   o v e r   1 4   d a y s   2 \ T a g I n f o \ V a l u e & l t ; / K e y & g t ; & l t ; / D i a g r a m O b j e c t K e y & g t ; & l t ; D i a g r a m O b j e c t K e y & g t ; & l t ; K e y & g t ; C o l u m n s \ I D & l t ; / K e y & g t ; & l t ; / D i a g r a m O b j e c t K e y & g t ; & l t ; D i a g r a m O b j e c t K e y & g t ; & l t ; K e y & g t ; C o l u m n s \ c r i _ i d & l t ; / K e y & g t ; & l t ; / D i a g r a m O b j e c t K e y & g t ; & l t ; D i a g r a m O b j e c t K e y & g t ; & l t ; K e y & g t ; C o l u m n s \ d r _ i d & l t ; / K e y & g t ; & l t ; / D i a g r a m O b j e c t K e y & g t ; & l t ; D i a g r a m O b j e c t K e y & g t ; & l t ; K e y & g t ; C o l u m n s \ o r g _ i d & l t ; / K e y & g t ; & l t ; / D i a g r a m O b j e c t K e y & g t ; & l t ; D i a g r a m O b j e c t K e y & g t ; & l t ; K e y & g t ; C o l u m n s \ c r i _ d a t a p e r i o d s t a r t & l t ; / K e y & g t ; & l t ; / D i a g r a m O b j e c t K e y & g t ; & l t ; D i a g r a m O b j e c t K e y & g t ; & l t ; K e y & g t ; C o l u m n s \ C o d e & l t ; / K e y & g t ; & l t ; / D i a g r a m O b j e c t K e y & g t ; & l t ; D i a g r a m O b j e c t K e y & g t ; & l t ; K e y & g t ; C o l u m n s \ N a m e & l t ; / K e y & g t ; & l t ; / D i a g r a m O b j e c t K e y & g t ; & l t ; D i a g r a m O b j e c t K e y & g t ; & l t ; K e y & g t ; C o l u m n s \ D a t e & l t ; / K e y & g t ; & l t ; / D i a g r a m O b j e c t K e y & g t ; & l t ; D i a g r a m O b j e c t K e y & g t ; & l t ; K e y & g t ; C o l u m n s \ W e e k & l t ; / K e y & g t ; & l t ; / D i a g r a m O b j e c t K e y & g t ; & l t ; D i a g r a m O b j e c t K e y & g t ; & l t ; K e y & g t ; C o l u m n s \ D a y & l t ; / K e y & g t ; & l t ; / D i a g r a m O b j e c t K e y & g t ; & l t ; D i a g r a m O b j e c t K e y & g t ; & l t ; K e y & g t ; C o l u m n s \ B a n k   h o l i d a y & l t ; / K e y & g t ; & l t ; / D i a g r a m O b j e c t K e y & g t ; & l t ; D i a g r a m O b j e c t K e y & g t ; & l t ; K e y & g t ; C o l u m n s \ A E   c l o s u r e s & l t ; / K e y & g t ; & l t ; / D i a g r a m O b j e c t K e y & g t ; & l t ; D i a g r a m O b j e c t K e y & g t ; & l t ; K e y & g t ; C o l u m n s \ A E   d i v e r t s & l t ; / K e y & g t ; & l t ; / D i a g r a m O b j e c t K e y & g t ; & l t ; D i a g r a m O b j e c t K e y & g t ; & l t ; K e y & g t ; C o l u m n s \ A E   t y p e   1   a t t e n d a n c e s & l t ; / K e y & g t ; & l t ; / D i a g r a m O b j e c t K e y & g t ; & l t ; D i a g r a m O b j e c t K e y & g t ; & l t ; K e y & g t ; C o l u m n s \ A E   t y p e   2   a t t e n d a n c e s & l t ; / K e y & g t ; & l t ; / D i a g r a m O b j e c t K e y & g t ; & l t ; D i a g r a m O b j e c t K e y & g t ; & l t ; K e y & g t ; C o l u m n s \ A E   t y p e   3   a t t e n d a n c e s & l t ; / K e y & g t ; & l t ; / D i a g r a m O b j e c t K e y & g t ; & l t ; D i a g r a m O b j e c t K e y & g t ; & l t ; K e y & g t ; C o l u m n s \ A E   t o t a l   a t t e n d a n c e s & l t ; / K e y & g t ; & l t ; / D i a g r a m O b j e c t K e y & g t ; & l t ; D i a g r a m O b j e c t K e y & g t ; & l t ; K e y & g t ; C o l u m n s \ E m e r g e n c y   a d m i s s i o n s & l t ; / K e y & g t ; & l t ; / D i a g r a m O b j e c t K e y & g t ; & l t ; D i a g r a m O b j e c t K e y & g t ; & l t ; K e y & g t ; C o l u m n s \ G A   c o r e   b e d s   a v a i l & l t ; / K e y & g t ; & l t ; / D i a g r a m O b j e c t K e y & g t ; & l t ; D i a g r a m O b j e c t K e y & g t ; & l t ; K e y & g t ; C o l u m n s \ G A   e s c a l a t i o n   b e d s   a v a i l & l t ; / K e y & g t ; & l t ; / D i a g r a m O b j e c t K e y & g t ; & l t ; D i a g r a m O b j e c t K e y & g t ; & l t ; K e y & g t ; C o l u m n s \ G A   t o t a l   b e d s   a v a i l & l t ; / K e y & g t ; & l t ; / D i a g r a m O b j e c t K e y & g t ; & l t ; D i a g r a m O b j e c t K e y & g t ; & l t ; K e y & g t ; C o l u m n s \ G A   t o t a l   b e d s   o c c u p i e d & l t ; / K e y & g t ; & l t ; / D i a g r a m O b j e c t K e y & g t ; & l t ; D i a g r a m O b j e c t K e y & g t ; & l t ; K e y & g t ; C o l u m n s \ B e d s 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 o c c & l t ; / K e y & g t ; & l t ; / D i a g r a m O b j e c t K e y & g t ; & l t ; D i a g r a m O b j e c t K e y & g t ; & l t ; K e y & g t ; C o l u m n s \ O P E L   3   o r   a b o v e & l t ; / K e y & g t ; & l t ; / D i a g r a m O b j e c t K e y & g t ; & l t ; D i a g r a m O b j e c t K e y & g t ; & l t ; K e y & g t ; C o l u m n s \ W e e k e n d & l t ; / K e y & g t ; & l t ; / D i a g r a m O b j e c t K e y & g t ; & l t ; D i a g r a m O b j e c t K e y & g t ; & l t ; K e y & g t ; C o l u m n s \ R e g i o n & l t ; / K e y & g t ; & l t ; / D i a g r a m O b j e c t K e y & g t ; & l t ; D i a g r a m O b j e c t K e y & g t ; & l t ; K e y & g t ; C o l u m n s \ Y e a r & l t ; / K e y & g t ; & l t ; / D i a g r a m O b j e c t K e y & g t ; & l t ; D i a g r a m O b j e c t K e y & g t ; & l t ; K e y & g t ; C o l u m n s \ B e d s   o c c   o v e r   7   d a y s & l t ; / K e y & g t ; & l t ; / D i a g r a m O b j e c t K e y & g t ; & l t ; D i a g r a m O b j e c t K e y & g t ; & l t ; K e y & g t ; C o l u m n s \ B e d s   o c c   o v e r   2 1   d a y s & l t ; / K e y & g t ; & l t ; / D i a g r a m O b j e c t K e y & g t ; & l t ; D i a g r a m O b j e c t K e y & g t ; & l t ; K e y & g t ; C o l u m n s \ A m b 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 m i n s & l t ; / K e y & g t ; & l t ; / D i a g r a m O b j e c t K e y & g t ; & l t ; D i a g r a m O b j e c t K e y & g t ; & l t ; K e y & g t ; C o l u m n s \ W e e k   l o n g & l t ; / K e y & g t ; & l t ; / D i a g r a m O b j e c t K e y & g t ; & l t ; D i a g r a m O b j e c t K e y & g t ; & l t ; K e y & g t ; C o l u m n s \ G A   b e d   o c c u p a n c y & l t ; / K e y & g t ; & l t ; / D i a g r a m O b j e c t K e y & g t ; & l t ; D i a g r a m O b j e c t K e y & g t ; & l t ; K e y & g t ; C o l u m n s \ B e d s   o c c   o v e r   1 4   d a y s & l t ; / K e y & g t ; & l t ; / D i a g r a m O b j e c t K e y & g t ; & l t ; D i a g r a m O b j e c t K e y & g t ; & l t ; K e y & g t ; L i n k s \ & a m p ; l t ; C o l u m n s \ S u m   o f   A E   d i v e r t s & a m p ; g t ; - & a m p ; l t ; M e a s u r e s \ A E   d i v e r t s & a m p ; g t ; & l t ; / K e y & g t ; & l t ; / D i a g r a m O b j e c t K e y & g t ; & l t ; D i a g r a m O b j e c t K e y & g t ; & l t ; K e y & g t ; L i n k s \ & a m p ; l t ; C o l u m n s \ S u m   o f   A E   d i v e r t s & a m p ; g t ; - & a m p ; l t ; M e a s u r e s \ A E   d i v e r t s & a m p ; g t ; \ C O L U M N & l t ; / K e y & g t ; & l t ; / D i a g r a m O b j e c t K e y & g t ; & l t ; D i a g r a m O b j e c t K e y & g t ; & l t ; K e y & g t ; L i n k s \ & a m p ; l t ; C o l u m n s \ S u m   o f   A E   d i v e r t s & a m p ; g t ; - & a m p ; l t ; M e a s u r e s \ A E   d i v e r t s & a m p ; g t ; \ M E A S U R E & l t ; / K e y & g t ; & l t ; / D i a g r a m O b j e c t K e y & g t ; & l t ; D i a g r a m O b j e c t K e y & g t ; & l t ; K e y & g t ; L i n k s \ & a m p ; l t ; C o l u m n s \ S u m   o f   G A   t o t a l   b e d s   o c c u p i e d & a m p ; g t ; - & a m p ; l t ; M e a s u r e s \ G A   t o t a l   b e d s   o c c u p i e d & a m p ; g t ; & l t ; / K e y & g t ; & l t ; / D i a g r a m O b j e c t K e y & g t ; & l t ; D i a g r a m O b j e c t K e y & g t ; & l t ; K e y & g t ; L i n k s \ & a m p ; l t ; C o l u m n s \ S u m   o f   G A   t o t a l   b e d s   o c c u p i e d & a m p ; g t ; - & a m p ; l t ; M e a s u r e s \ G A   t o t a l   b e d s   o c c u p i e d & a m p ; g t ; \ C O L U M N & l t ; / K e y & g t ; & l t ; / D i a g r a m O b j e c t K e y & g t ; & l t ; D i a g r a m O b j e c t K e y & g t ; & l t ; K e y & g t ; L i n k s \ & a m p ; l t ; C o l u m n s \ S u m   o f   G A   t o t a l   b e d s   o c c u p i e d & a m p ; g t ; - & a m p ; l t ; M e a s u r e s \ G A   t o t a l   b e d s   o c c u p i e d & a m p ; g t ; \ M E A S U R E & l t ; / K e y & g t ; & l t ; / D i a g r a m O b j e c t K e y & g t ; & l t ; D i a g r a m O b j e c t K e y & g t ; & l t ; K e y & g t ; L i n k s \ & a m p ; l t ; C o l u m n s \ A v e r a g e   o f   G A   t o t a l   b e d s   o c c u p i e d & a m p ; g t ; - & a m p ; l t ; M e a s u r e s \ G A   t o t a l   b e d s   o c c u p i e d & a m p ; g t ; & l t ; / K e y & g t ; & l t ; / D i a g r a m O b j e c t K e y & g t ; & l t ; D i a g r a m O b j e c t K e y & g t ; & l t ; K e y & g t ; L i n k s \ & a m p ; l t ; C o l u m n s \ A v e r a g e   o f   G A   t o t a l   b e d s   o c c u p i e d & a m p ; g t ; - & a m p ; l t ; M e a s u r e s \ G A   t o t a l   b e d s   o c c u p i e d & a m p ; g t ; \ C O L U M N & l t ; / K e y & g t ; & l t ; / D i a g r a m O b j e c t K e y & g t ; & l t ; D i a g r a m O b j e c t K e y & g t ; & l t ; K e y & g t ; L i n k s \ & a m p ; l t ; C o l u m n s \ A v e r a g e   o f   G A   t o t a l   b e d s   o c c u p i e d & a m p ; g t ; - & a m p ; l t ; M e a s u r e s \ G A   t o t a l   b e d s   o c c u p i e d & a m p ; g t ; \ M E A S U R E & l t ; / K e y & g t ; & l t ; / D i a g r a m O b j e c t K e y & g t ; & l t ; D i a g r a m O b j e c t K e y & g t ; & l t ; K e y & g t ; L i n k s \ & a m p ; l t ; C o l u m n s \ S u m   o f   G A   t o t a l   b e d s   a v a i l & a m p ; g t ; - & a m p ; l t ; M e a s u r e s \ G A   t o t a l   b e d s   a v a i l & a m p ; g t ; & l t ; / K e y & g t ; & l t ; / D i a g r a m O b j e c t K e y & g t ; & l t ; D i a g r a m O b j e c t K e y & g t ; & l t ; K e y & g t ; L i n k s \ & a m p ; l t ; C o l u m n s \ S u m   o f   G A   t o t a l   b e d s   a v a i l & a m p ; g t ; - & a m p ; l t ; M e a s u r e s \ G A   t o t a l   b e d s   a v a i l & a m p ; g t ; \ C O L U M N & l t ; / K e y & g t ; & l t ; / D i a g r a m O b j e c t K e y & g t ; & l t ; D i a g r a m O b j e c t K e y & g t ; & l t ; K e y & g t ; L i n k s \ & a m p ; l t ; C o l u m n s \ S u m   o f   G A   t o t a l   b e d s   a v a i l & a m p ; g t ; - & a m p ; l t ; M e a s u r e s \ G A   t o t a l   b e d s   a v a i l & a m p ; g t ; \ M E A S U R E & l t ; / K e y & g t ; & l t ; / D i a g r a m O b j e c t K e y & g t ; & l t ; D i a g r a m O b j e c t K e y & g t ; & l t ; K e y & g t ; L i n k s \ & a m p ; l t ; C o l u m n s \ S u m   o f   B e d s   o c c   o v e r   7   d a y s & a m p ; g t ; - & a m p ; l t ; M e a s u r e s \ B e d s   o c c   o v e r   7   d a y s & a m p ; g t ; & l t ; / K e y & g t ; & l t ; / D i a g r a m O b j e c t K e y & g t ; & l t ; D i a g r a m O b j e c t K e y & g t ; & l t ; K e y & g t ; L i n k s \ & a m p ; l t ; C o l u m n s \ S u m   o f   B e d s   o c c   o v e r   7   d a y s & a m p ; g t ; - & a m p ; l t ; M e a s u r e s \ B e d s   o c c   o v e r   7   d a y s & a m p ; g t ; \ C O L U M N & l t ; / K e y & g t ; & l t ; / D i a g r a m O b j e c t K e y & g t ; & l t ; D i a g r a m O b j e c t K e y & g t ; & l t ; K e y & g t ; L i n k s \ & a m p ; l t ; C o l u m n s \ S u m   o f   B e d s   o c c   o v e r   7   d a y s & a m p ; g t ; - & a m p ; l t ; M e a s u r e s \ B e d s   o c c   o v e r   7   d a y s & a m p ; g t ; \ M E A S U R E & l t ; / K e y & g t ; & l t ; / D i a g r a m O b j e c t K e y & g t ; & l t ; D i a g r a m O b j e c t K e y & g t ; & l t ; K e y & g t ; L i n k s \ & a m p ; l t ; C o l u m n s \ S u m   o f   B e d s   o c c   o v e r   2 1   d a y s & a m p ; g t ; - & a m p ; l t ; M e a s u r e s \ B e d s   o c c   o v e r   2 1   d a y s & a m p ; g t ; & l t ; / K e y & g t ; & l t ; / D i a g r a m O b j e c t K e y & g t ; & l t ; D i a g r a m O b j e c t K e y & g t ; & l t ; K e y & g t ; L i n k s \ & a m p ; l t ; C o l u m n s \ S u m   o f   B e d s   o c c   o v e r   2 1   d a y s & a m p ; g t ; - & a m p ; l t ; M e a s u r e s \ B e d s   o c c   o v e r   2 1   d a y s & a m p ; g t ; \ C O L U M N & l t ; / K e y & g t ; & l t ; / D i a g r a m O b j e c t K e y & g t ; & l t ; D i a g r a m O b j e c t K e y & g t ; & l t ; K e y & g t ; L i n k s \ & a m p ; l t ; C o l u m n s \ S u m   o f   B e d s   o c c   o v e r   2 1   d a y s & a m p ; g t ; - & a m p ; l t ; M e a s u r e s \ B e d s   o c c   o v e r   2 1   d a y s & a m p ; g t ; \ M E A S U R E & l t ; / K e y & g t ; & l t ; / D i a g r a m O b j e c t K e y & g t ; & l t ; D i a g r a m O b j e c t K e y & g t ; & l t ; K e y & g t ; L i n k s \ & a m p ; l t ; C o l u m n s \ A v e r a g e   o f   B e d s   o c c   o v e r   2 1   d a y s & a m p ; g t ; - & a m p ; l t ; M e a s u r e s \ B e d s   o c c   o v e r   2 1   d a y s & a m p ; g t ; & l t ; / K e y & g t ; & l t ; / D i a g r a m O b j e c t K e y & g t ; & l t ; D i a g r a m O b j e c t K e y & g t ; & l t ; K e y & g t ; L i n k s \ & a m p ; l t ; C o l u m n s \ A v e r a g e   o f   B e d s   o c c   o v e r   2 1   d a y s & a m p ; g t ; - & a m p ; l t ; M e a s u r e s \ B e d s   o c c   o v e r   2 1   d a y s & a m p ; g t ; \ C O L U M N & l t ; / K e y & g t ; & l t ; / D i a g r a m O b j e c t K e y & g t ; & l t ; D i a g r a m O b j e c t K e y & g t ; & l t ; K e y & g t ; L i n k s \ & a m p ; l t ; C o l u m n s \ A v e r a g e   o f   B e d s   o c c   o v e r   2 1   d a y s & a m p ; g t ; - & a m p ; l t ; M e a s u r e s \ B e d s   o c c   o v e r   2 1   d a y s & a m p ; g t ; \ M E A S U R E & l t ; / K e y & g t ; & l t ; / D i a g r a m O b j e c t K e y & g t ; & l t ; D i a g r a m O b j e c t K e y & g t ; & l t ; K e y & g t ; L i n k s \ & a m p ; l t ; C o l u m n s \ S u m   o f   B e d s   c l o s e d   n o r o v i r u s & a m p ; g t ; - & a m p ; l t ; M e a s u r e s \ B e d s   c l o s e d   n o r o v i r u s & a m p ; g t ; & l t ; / K e y & g t ; & l t ; / D i a g r a m O b j e c t K e y & g t ; & l t ; D i a g r a m O b j e c t K e y & g t ; & l t ; K e y & g t ; L i n k s \ & a m p ; l t ; C o l u m n s \ S u m   o f   B e d s   c l o s e d   n o r o v i r u s & a m p ; g t ; - & a m p ; l t ; M e a s u r e s \ B e d s   c l o s e d   n o r o v i r u s & a m p ; g t ; \ C O L U M N & l t ; / K e y & g t ; & l t ; / D i a g r a m O b j e c t K e y & g t ; & l t ; D i a g r a m O b j e c t K e y & g t ; & l t ; K e y & g t ; L i n k s \ & a m p ; l t ; C o l u m n s \ S u m   o f   B e d s   c l o s e d   n o r o v i r u s & a m p ; g t ; - & a m p ; l t ; M e a s u r e s \ B e d s   c l o s e d   n o r o v i r u s & a m p ; g t ; \ M E A S U R E & l t ; / K e y & g t ; & l t ; / D i a g r a m O b j e c t K e y & g t ; & l t ; D i a g r a m O b j e c t K e y & g t ; & l t ; K e y & g t ; L i n k s \ & a m p ; l t ; C o l u m n s \ A v e r a g e   o f   B e d s   c l o s e d   n o r o v i r u s & a m p ; g t ; - & a m p ; l t ; M e a s u r e s \ B e d s   c l o s e d   n o r o v i r u s & a m p ; g t ; & l t ; / K e y & g t ; & l t ; / D i a g r a m O b j e c t K e y & g t ; & l t ; D i a g r a m O b j e c t K e y & g t ; & l t ; K e y & g t ; L i n k s \ & a m p ; l t ; C o l u m n s \ A v e r a g e   o f   B e d s   c l o s e d   n o r o v i r u s & a m p ; g t ; - & a m p ; l t ; M e a s u r e s \ B e d s   c l o s e d   n o r o v i r u s & a m p ; g t ; \ C O L U M N & l t ; / K e y & g t ; & l t ; / D i a g r a m O b j e c t K e y & g t ; & l t ; D i a g r a m O b j e c t K e y & g t ; & l t ; K e y & g t ; L i n k s \ & a m p ; l t ; C o l u m n s \ A v e r a g e   o f   B e d s   c l o s e d   n o r o v i r u s & a m p ; g t ; - & a m p ; l t ; M e a s u r e s \ B e d s   c l o s e d   n o r o v i r u s & a m p ; g t ; \ M E A S U R E & l t ; / K e y & g t ; & l t ; / D i a g r a m O b j e c t K e y & g t ; & l t ; D i a g r a m O b j e c t K e y & g t ; & l t ; K e y & g t ; L i n k s \ & a m p ; l t ; C o l u m n s \ S u m   o f   B e d s   c l o s e d   n o r o v i u s   u n o c c & a m p ; g t ; - & a m p ; l t ; M e a s u r e s \ B e d s   c l o s e d   n o r o v i u s   u n o c c & a m p ; g t ; & l t ; / K e y & g t ; & l t ; / D i a g r a m O b j e c t K e y & g t ; & l t ; D i a g r a m O b j e c t K e y & g t ; & l t ; K e y & g t ; L i n k s \ & a m p ; l t ; C o l u m n s \ S u m   o f   B e d s   c l o s e d   n o r o v i u s   u n o c c & a m p ; g t ; - & a m p ; l t ; M e a s u r e s \ B e d s   c l o s e d   n o r o v i u s   u n o c c & a m p ; g t ; \ C O L U M N & l t ; / K e y & g t ; & l t ; / D i a g r a m O b j e c t K e y & g t ; & l t ; D i a g r a m O b j e c t K e y & g t ; & l t ; K e y & g t ; L i n k s \ & a m p ; l t ; C o l u m n s \ S u m   o f   B e d s   c l o s e d   n o r o v i u s   u n o c c & a m p ; g t ; - & a m p ; l t ; M e a s u r e s \ B e d s   c l o s e d   n o r o v i u s   u n o c c & a m p ; g t ; \ M E A S U R E & l t ; / K e y & g t ; & l t ; / D i a g r a m O b j e c t K e y & g t ; & l t ; D i a g r a m O b j e c t K e y & g t ; & l t ; K e y & g t ; L i n k s \ & a m p ; l t ; C o l u m n s \ S u m   o f   A m b   a r r i v a l s & a m p ; g t ; - & a m p ; l t ; M e a s u r e s \ A m b   a r r i v a l s & a m p ; g t ; & l t ; / K e y & g t ; & l t ; / D i a g r a m O b j e c t K e y & g t ; & l t ; D i a g r a m O b j e c t K e y & g t ; & l t ; K e y & g t ; L i n k s \ & a m p ; l t ; C o l u m n s \ S u m   o f   A m b   a r r i v a l s & a m p ; g t ; - & a m p ; l t ; M e a s u r e s \ A m b   a r r i v a l s & a m p ; g t ; \ C O L U M N & l t ; / K e y & g t ; & l t ; / D i a g r a m O b j e c t K e y & g t ; & l t ; D i a g r a m O b j e c t K e y & g t ; & l t ; K e y & g t ; L i n k s \ & a m p ; l t ; C o l u m n s \ S u m   o f   A m b   a r r i v a l s & a m p ; g t ; - & a m p ; l t ; M e a s u r e s \ A m b   a r r i v a l s & a m p ; g t ; \ M E A S U R E & l t ; / K e y & g t ; & l t ; / D i a g r a m O b j e c t K e y & g t ; & l t ; D i a g r a m O b j e c t K e y & g t ; & l t ; K e y & g t ; L i n k s \ & a m p ; l t ; C o l u m n s \ S u m   o f   A m b   d e l a y s   3 0 - 6 0   m i n s & a m p ; g t ; - & a m p ; l t ; M e a s u r e s \ A m b   d e l a y s   3 0 - 6 0   m i n s & a m p ; g t ; & l t ; / K e y & g t ; & l t ; / D i a g r a m O b j e c t K e y & g t ; & l t ; D i a g r a m O b j e c t K e y & g t ; & l t ; K e y & g t ; L i n k s \ & a m p ; l t ; C o l u m n s \ S u m   o f   A m b   d e l a y s   3 0 - 6 0   m i n s & a m p ; g t ; - & a m p ; l t ; M e a s u r e s \ A m b   d e l a y s   3 0 - 6 0   m i n s & a m p ; g t ; \ C O L U M N & l t ; / K e y & g t ; & l t ; / D i a g r a m O b j e c t K e y & g t ; & l t ; D i a g r a m O b j e c t K e y & g t ; & l t ; K e y & g t ; L i n k s \ & a m p ; l t ; C o l u m n s \ S u m   o f   A m b   d e l a y s   3 0 - 6 0   m i n s & a m p ; g t ; - & a m p ; l t ; M e a s u r e s \ A m b   d e l a y s   3 0 - 6 0   m i n s & a m p ; g t ; \ M E A S U R E & l t ; / K e y & g t ; & l t ; / D i a g r a m O b j e c t K e y & g t ; & l t ; D i a g r a m O b j e c t K e y & g t ; & l t ; K e y & g t ; L i n k s \ & a m p ; l t ; C o l u m n s \ S u m   o f   A m b   d e l a y s   o v e r   6 0   m i n s & a m p ; g t ; - & a m p ; l t ; M e a s u r e s \ A m b   d e l a y s   o v e r   6 0   m i n s & a m p ; g t ; & l t ; / K e y & g t ; & l t ; / D i a g r a m O b j e c t K e y & g t ; & l t ; D i a g r a m O b j e c t K e y & g t ; & l t ; K e y & g t ; L i n k s \ & a m p ; l t ; C o l u m n s \ S u m   o f   A m b   d e l a y s   o v e r   6 0   m i n s & a m p ; g t ; - & a m p ; l t ; M e a s u r e s \ A m b   d e l a y s   o v e r   6 0   m i n s & a m p ; g t ; \ C O L U M N & l t ; / K e y & g t ; & l t ; / D i a g r a m O b j e c t K e y & g t ; & l t ; D i a g r a m O b j e c t K e y & g t ; & l t ; K e y & g t ; L i n k s \ & a m p ; l t ; C o l u m n s \ S u m   o f   A m b   d e l a y s   o v e r   6 0   m i n s & a m p ; g t ; - & a m p ; l t ; M e a s u r e s \ A m b   d e l a y s   o v e r   6 0   m i n s & a m p ; g t ; \ M E A S U R E & l t ; / K e y & g t ; & l t ; / D i a g r a m O b j e c t K e y & g t ; & l t ; D i a g r a m O b j e c t K e y & g t ; & l t ; K e y & g t ; L i n k s \ & a m p ; l t ; C o l u m n s \ S u m   o f   A d u l t   C C   b e d s   a v a i l & a m p ; g t ; - & a m p ; l t ; M e a s u r e s \ A d u l t   C C   b e d s   a v a i l & a m p ; g t ; & l t ; / K e y & g t ; & l t ; / D i a g r a m O b j e c t K e y & g t ; & l t ; D i a g r a m O b j e c t K e y & g t ; & l t ; K e y & g t ; L i n k s \ & a m p ; l t ; C o l u m n s \ S u m   o f   A d u l t   C C   b e d s   a v a i l & a m p ; g t ; - & a m p ; l t ; M e a s u r e s \ A d u l t   C C   b e d s   a v a i l & a m p ; g t ; \ C O L U M N & l t ; / K e y & g t ; & l t ; / D i a g r a m O b j e c t K e y & g t ; & l t ; D i a g r a m O b j e c t K e y & g t ; & l t ; K e y & g t ; L i n k s \ & a m p ; l t ; C o l u m n s \ S u m   o f   A d u l t   C C   b e d s   a v a i l & a m p ; g t ; - & a m p ; l t ; M e a s u r e s \ A d u l t   C C   b e d s   a v a i l & a m p ; g t ; \ M E A S U R E & l t ; / K e y & g t ; & l t ; / D i a g r a m O b j e c t K e y & g t ; & l t ; D i a g r a m O b j e c t K e y & g t ; & l t ; K e y & g t ; L i n k s \ & a m p ; l t ; C o l u m n s \ S u m   o f   A d u l t   C C   b e d s   o c c & a m p ; g t ; - & a m p ; l t ; M e a s u r e s \ A d u l t   C C   b e d s   o c c & a m p ; g t ; & l t ; / K e y & g t ; & l t ; / D i a g r a m O b j e c t K e y & g t ; & l t ; D i a g r a m O b j e c t K e y & g t ; & l t ; K e y & g t ; L i n k s \ & a m p ; l t ; C o l u m n s \ S u m   o f   A d u l t   C C   b e d s   o c c & a m p ; g t ; - & a m p ; l t ; M e a s u r e s \ A d u l t   C C   b e d s   o c c & a m p ; g t ; \ C O L U M N & l t ; / K e y & g t ; & l t ; / D i a g r a m O b j e c t K e y & g t ; & l t ; D i a g r a m O b j e c t K e y & g t ; & l t ; K e y & g t ; L i n k s \ & a m p ; l t ; C o l u m n s \ S u m   o f   A d u l t   C C   b e d s   o c c & a m p ; g t ; - & a m p ; l t ; M e a s u r e s \ A d u l t   C C   b e d s   o c c & a m p ; g t ; \ M E A S U R E & l t ; / K e y & g t ; & l t ; / D i a g r a m O b j e c t K e y & g t ; & l t ; D i a g r a m O b j e c t K e y & g t ; & l t ; K e y & g t ; L i n k s \ & a m p ; l t ; C o l u m n s \ S u m   o f   P a e d   I n t   C a r e   A v a i l & a m p ; g t ; - & a m p ; l t ; M e a s u r e s \ P a e d   I n t   C a r e   A v a i l & a m p ; g t ; & l t ; / K e y & g t ; & l t ; / D i a g r a m O b j e c t K e y & g t ; & l t ; D i a g r a m O b j e c t K e y & g t ; & l t ; K e y & g t ; L i n k s \ & a m p ; l t ; C o l u m n s \ S u m   o f   P a e d   I n t   C a r e   A v a i l & a m p ; g t ; - & a m p ; l t ; M e a s u r e s \ P a e d   I n t   C a r e   A v a i l & a m p ; g t ; \ C O L U M N & l t ; / K e y & g t ; & l t ; / D i a g r a m O b j e c t K e y & g t ; & l t ; D i a g r a m O b j e c t K e y & g t ; & l t ; K e y & g t ; L i n k s \ & a m p ; l t ; C o l u m n s \ S u m   o f   P a e d   I n t   C a r e   A v a i l & a m p ; g t ; - & a m p ; l t ; M e a s u r e s \ P a e d   I n t   C a r e   A v a i l & a m p ; g t ; \ M E A S U R E & l t ; / K e y & g t ; & l t ; / D i a g r a m O b j e c t K e y & g t ; & l t ; D i a g r a m O b j e c t K e y & g t ; & l t ; K e y & g t ; L i n k s \ & a m p ; l t ; C o l u m n s \ S u m   o f   P a e d   I n t   C a r e   O c c & a m p ; g t ; - & a m p ; l t ; M e a s u r e s \ P a e d   I n t   C a r e   O c c & a m p ; g t ; & l t ; / K e y & g t ; & l t ; / D i a g r a m O b j e c t K e y & g t ; & l t ; D i a g r a m O b j e c t K e y & g t ; & l t ; K e y & g t ; L i n k s \ & a m p ; l t ; C o l u m n s \ S u m   o f   P a e d   I n t   C a r e   O c c & a m p ; g t ; - & a m p ; l t ; M e a s u r e s \ P a e d   I n t   C a r e   O c c & a m p ; g t ; \ C O L U M N & l t ; / K e y & g t ; & l t ; / D i a g r a m O b j e c t K e y & g t ; & l t ; D i a g r a m O b j e c t K e y & g t ; & l t ; K e y & g t ; L i n k s \ & a m p ; l t ; C o l u m n s \ S u m   o f   P a e d   I n t   C a r e   O c c & a m p ; g t ; - & a m p ; l t ; M e a s u r e s \ P a e d   I n t   C a r e   O c c & a m p ; g t ; \ M E A S U R E & l t ; / K e y & g t ; & l t ; / D i a g r a m O b j e c t K e y & g t ; & l t ; D i a g r a m O b j e c t K e y & g t ; & l t ; K e y & g t ; L i n k s \ & a m p ; l t ; C o l u m n s \ S u m   o f   N e o   I n t   C a r e   A v a i l & a m p ; g t ; - & a m p ; l t ; M e a s u r e s \ N e o   I n t   C a r e   A v a i l & a m p ; g t ; & l t ; / K e y & g t ; & l t ; / D i a g r a m O b j e c t K e y & g t ; & l t ; D i a g r a m O b j e c t K e y & g t ; & l t ; K e y & g t ; L i n k s \ & a m p ; l t ; C o l u m n s \ S u m   o f   N e o   I n t   C a r e   A v a i l & a m p ; g t ; - & a m p ; l t ; M e a s u r e s \ N e o   I n t   C a r e   A v a i l & a m p ; g t ; \ C O L U M N & l t ; / K e y & g t ; & l t ; / D i a g r a m O b j e c t K e y & g t ; & l t ; D i a g r a m O b j e c t K e y & g t ; & l t ; K e y & g t ; L i n k s \ & a m p ; l t ; C o l u m n s \ S u m   o f   N e o   I n t   C a r e   A v a i l & a m p ; g t ; - & a m p ; l t ; M e a s u r e s \ N e o   I n t   C a r e   A v a i l & a m p ; g t ; \ M E A S U R E & l t ; / K e y & g t ; & l t ; / D i a g r a m O b j e c t K e y & g t ; & l t ; D i a g r a m O b j e c t K e y & g t ; & l t ; K e y & g t ; L i n k s \ & a m p ; l t ; C o l u m n s \ S u m   o f   N e o   I n t   C a r e   o c c & a m p ; g t ; - & a m p ; l t ; M e a s u r e s \ N e o   I n t   C a r e   o c c & a m p ; g t ; & l t ; / K e y & g t ; & l t ; / D i a g r a m O b j e c t K e y & g t ; & l t ; D i a g r a m O b j e c t K e y & g t ; & l t ; K e y & g t ; L i n k s \ & a m p ; l t ; C o l u m n s \ S u m   o f   N e o   I n t   C a r e   o c c & a m p ; g t ; - & a m p ; l t ; M e a s u r e s \ N e o   I n t   C a r e   o c c & a m p ; g t ; \ C O L U M N & l t ; / K e y & g t ; & l t ; / D i a g r a m O b j e c t K e y & g t ; & l t ; D i a g r a m O b j e c t K e y & g t ; & l t ; K e y & g t ; L i n k s \ & a m p ; l t ; C o l u m n s \ S u m   o f   N e o   I n t   C a r e   o c c & a m p ; g t ; - & a m p ; l t ; M e a s u r e s \ N e o   I n t   C a r e   o c c & a m p ; g t ; \ M E A S U R E & l t ; / K e y & g t ; & l t ; / D i a g r a m O b j e c t K e y & g t ; & l t ; D i a g r a m O b j e c t K e y & g t ; & l t ; K e y & g t ; L i n k s \ & a m p ; l t ; C o l u m n s \ A v e r a g e   o f   N e o   I n t   C a r e   A v a i l & a m p ; g t ; - & a m p ; l t ; M e a s u r e s \ N e o   I n t   C a r e   A v a i l & a m p ; g t ; & l t ; / K e y & g t ; & l t ; / D i a g r a m O b j e c t K e y & g t ; & l t ; D i a g r a m O b j e c t K e y & g t ; & l t ; K e y & g t ; L i n k s \ & a m p ; l t ; C o l u m n s \ A v e r a g e   o f   N e o   I n t   C a r e   A v a i l & a m p ; g t ; - & a m p ; l t ; M e a s u r e s \ N e o   I n t   C a r e   A v a i l & a m p ; g t ; \ C O L U M N & l t ; / K e y & g t ; & l t ; / D i a g r a m O b j e c t K e y & g t ; & l t ; D i a g r a m O b j e c t K e y & g t ; & l t ; K e y & g t ; L i n k s \ & a m p ; l t ; C o l u m n s \ A v e r a g e   o f   N e o   I n t   C a r e   A v a i l & a m p ; g t ; - & a m p ; l t ; M e a s u r e s \ N e o   I n t   C a r e   A v a i l & a m p ; g t ; \ M E A S U R E & l t ; / K e y & g t ; & l t ; / D i a g r a m O b j e c t K e y & g t ; & l t ; D i a g r a m O b j e c t K e y & g t ; & l t ; K e y & g t ; L i n k s \ & a m p ; l t ; C o l u m n s \ A v e r a g e   o f   N e o   I n t   C a r e   o c c & a m p ; g t ; - & a m p ; l t ; M e a s u r e s \ N e o   I n t   C a r e   o c c & a m p ; g t ; & l t ; / K e y & g t ; & l t ; / D i a g r a m O b j e c t K e y & g t ; & l t ; D i a g r a m O b j e c t K e y & g t ; & l t ; K e y & g t ; L i n k s \ & a m p ; l t ; C o l u m n s \ A v e r a g e   o f   N e o   I n t   C a r e   o c c & a m p ; g t ; - & a m p ; l t ; M e a s u r e s \ N e o   I n t   C a r e   o c c & a m p ; g t ; \ C O L U M N & l t ; / K e y & g t ; & l t ; / D i a g r a m O b j e c t K e y & g t ; & l t ; D i a g r a m O b j e c t K e y & g t ; & l t ; K e y & g t ; L i n k s \ & a m p ; l t ; C o l u m n s \ A v e r a g e   o f   N e o   I n t   C a r e   o c c & a m p ; g t ; - & a m p ; l t ; M e a s u r e s \ N e o   I n t   C a r e   o c c & a m p ; g t ; \ M E A S U R E & l t ; / K e y & g t ; & l t ; / D i a g r a m O b j e c t K e y & g t ; & l t ; D i a g r a m O b j e c t K e y & g t ; & l t ; K e y & g t ; L i n k s \ & a m p ; l t ; C o l u m n s \ S u m   o f   G A   b e d   o c c u p a n c y & a m p ; g t ; - & a m p ; l t ; M e a s u r e s \ G A   b e d   o c c u p a n c y & a m p ; g t ; & l t ; / K e y & g t ; & l t ; / D i a g r a m O b j e c t K e y & g t ; & l t ; D i a g r a m O b j e c t K e y & g t ; & l t ; K e y & g t ; L i n k s \ & a m p ; l t ; C o l u m n s \ S u m   o f   G A   b e d   o c c u p a n c y & a m p ; g t ; - & a m p ; l t ; M e a s u r e s \ G A   b e d   o c c u p a n c y & a m p ; g t ; \ C O L U M N & l t ; / K e y & g t ; & l t ; / D i a g r a m O b j e c t K e y & g t ; & l t ; D i a g r a m O b j e c t K e y & g t ; & l t ; K e y & g t ; L i n k s \ & a m p ; l t ; C o l u m n s \ S u m   o f   G A   b e d   o c c u p a n c y & a m p ; g t ; - & a m p ; l t ; M e a s u r e s \ G A   b e d   o c c u p a n c y & a m p ; g t ; \ M E A S U R E & l t ; / K e y & g t ; & l t ; / D i a g r a m O b j e c t K e y & g t ; & l t ; D i a g r a m O b j e c t K e y & g t ; & l t ; K e y & g t ; L i n k s \ & a m p ; l t ; C o l u m n s \ A v e r a g e   o f   G A   b e d   o c c u p a n c y & a m p ; g t ; - & a m p ; l t ; M e a s u r e s \ G A   b e d   o c c u p a n c y & a m p ; g t ; & l t ; / K e y & g t ; & l t ; / D i a g r a m O b j e c t K e y & g t ; & l t ; D i a g r a m O b j e c t K e y & g t ; & l t ; K e y & g t ; L i n k s \ & a m p ; l t ; C o l u m n s \ A v e r a g e   o f   G A   b e d   o c c u p a n c y & a m p ; g t ; - & a m p ; l t ; M e a s u r e s \ G A   b e d   o c c u p a n c y & a m p ; g t ; \ C O L U M N & l t ; / K e y & g t ; & l t ; / D i a g r a m O b j e c t K e y & g t ; & l t ; D i a g r a m O b j e c t K e y & g t ; & l t ; K e y & g t ; L i n k s \ & a m p ; l t ; C o l u m n s \ A v e r a g e   o f   G A   b e d   o c c u p a n c y & a m p ; g t ; - & a m p ; l t ; M e a s u r e s \ G A   b e d   o c c u p a n c y & a m p ; g t ; \ M E A S U R E & l t ; / K e y & g t ; & l t ; / D i a g r a m O b j e c t K e y & g t ; & l t ; D i a g r a m O b j e c t K e y & g t ; & l t ; K e y & g t ; L i n k s \ & a m p ; l t ; C o l u m n s \ S u m   o f   G A   c o r e   b e d s   a v a i l & a m p ; g t ; - & a m p ; l t ; M e a s u r e s \ G A   c o r e   b e d s   a v a i l & a m p ; g t ; & l t ; / K e y & g t ; & l t ; / D i a g r a m O b j e c t K e y & g t ; & l t ; D i a g r a m O b j e c t K e y & g t ; & l t ; K e y & g t ; L i n k s \ & a m p ; l t ; C o l u m n s \ S u m   o f   G A   c o r e   b e d s   a v a i l & a m p ; g t ; - & a m p ; l t ; M e a s u r e s \ G A   c o r e   b e d s   a v a i l & a m p ; g t ; \ C O L U M N & l t ; / K e y & g t ; & l t ; / D i a g r a m O b j e c t K e y & g t ; & l t ; D i a g r a m O b j e c t K e y & g t ; & l t ; K e y & g t ; L i n k s \ & a m p ; l t ; C o l u m n s \ S u m   o f   G A   c o r e   b e d s   a v a i l & a m p ; g t ; - & a m p ; l t ; M e a s u r e s \ G A   c o r e   b e d s   a v a i l & a m p ; g t ; \ M E A S U R E & l t ; / K e y & g t ; & l t ; / D i a g r a m O b j e c t K e y & g t ; & l t ; D i a g r a m O b j e c t K e y & g t ; & l t ; K e y & g t ; L i n k s \ & a m p ; l t ; C o l u m n s \ S u m   o f   G A   e s c a l a t i o n   b e d s   a v a i l & a m p ; g t ; - & a m p ; l t ; M e a s u r e s \ G A   e s c a l a t i o n   b e d s   a v a i l & a m p ; g t ; & l t ; / K e y & g t ; & l t ; / D i a g r a m O b j e c t K e y & g t ; & l t ; D i a g r a m O b j e c t K e y & g t ; & l t ; K e y & g t ; L i n k s \ & a m p ; l t ; C o l u m n s \ S u m   o f   G A   e s c a l a t i o n   b e d s   a v a i l & a m p ; g t ; - & a m p ; l t ; M e a s u r e s \ G A   e s c a l a t i o n   b e d s   a v a i l & a m p ; g t ; \ C O L U M N & l t ; / K e y & g t ; & l t ; / D i a g r a m O b j e c t K e y & g t ; & l t ; D i a g r a m O b j e c t K e y & g t ; & l t ; K e y & g t ; L i n k s \ & a m p ; l t ; C o l u m n s \ S u m   o f   G A   e s c a l a t i o n   b e d s   a v a i l & a m p ; g t ; - & a m p ; l t ; M e a s u r e s \ G A   e s c a l a t i o n   b e d s   a v a i l & a m p ; g t ; \ M E A S U R E & l t ; / K e y & g t ; & l t ; / D i a g r a m O b j e c t K e y & g t ; & l t ; D i a g r a m O b j e c t K e y & g t ; & l t ; K e y & g t ; L i n k s \ & a m p ; l t ; C o l u m n s \ S u m   o f   B e d s   o c c   o v e r   1 4   d a y s   2 & a m p ; g t ; - & a m p ; l t ; M e a s u r e s \ B e d s   o c c   o v e r   1 4   d a y s & a m p ; g t ; & l t ; / K e y & g t ; & l t ; / D i a g r a m O b j e c t K e y & g t ; & l t ; D i a g r a m O b j e c t K e y & g t ; & l t ; K e y & g t ; L i n k s \ & a m p ; l t ; C o l u m n s \ S u m   o f   B e d s   o c c   o v e r   1 4   d a y s   2 & a m p ; g t ; - & a m p ; l t ; M e a s u r e s \ B e d s   o c c   o v e r   1 4   d a y s & a m p ; g t ; \ C O L U M N & l t ; / K e y & g t ; & l t ; / D i a g r a m O b j e c t K e y & g t ; & l t ; D i a g r a m O b j e c t K e y & g t ; & l t ; K e y & g t ; L i n k s \ & a m p ; l t ; C o l u m n s \ S u m   o f   B e d s   o c c   o v e r   1 4   d a y s   2 & a m p ; g t ; - & a m p ; l t ; M e a s u r e s \ B e d s   o c c   o v e r   1 4   d a y 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 A E   d i v e r t s & l t ; / K e y & g t ; & l t ; / a : K e y & g t ; & l t ; a : V a l u e   i : t y p e = " M e a s u r e G r i d N o d e V i e w S t a t e " & g t ; & l t ; C o l u m n & g t ; 1 3 & l t ; / C o l u m n & g t ; & l t ; L a y e d O u t & g t ; t r u e & l t ; / L a y e d O u t & g t ; & l t ; W a s U I I n v i s i b l e & g t ; t r u e & l t ; / W a s U I I n v i s i b l e & g t ; & l t ; / a : V a l u e & g t ; & l t ; / a : K e y V a l u e O f D i a g r a m O b j e c t K e y a n y T y p e z b w N T n L X & g t ; & l t ; a : K e y V a l u e O f D i a g r a m O b j e c t K e y a n y T y p e z b w N T n L X & g t ; & l t ; a : K e y & g t ; & l t ; K e y & g t ; M e a s u r e s \ S u m   o f   A E   d i v e r t s \ T a g I n f o \ F o r m u l a & l t ; / K e y & g t ; & l t ; / a : K e y & g t ; & l t ; a : V a l u e   i : t y p e = " M e a s u r e G r i d B a s e V i e w S t a t e \ I D i a g r a m T a g A d d i t i o n a l I n f o " / & g t ; & l t ; / a : K e y V a l u e O f D i a g r a m O b j e c t K e y a n y T y p e z b w N T n L X & g t ; & l t ; a : K e y V a l u e O f D i a g r a m O b j e c t K e y a n y T y p e z b w N T n L X & g t ; & l t ; a : K e y & g t ; & l t ; K e y & g t ; M e a s u r e s \ S u m   o f   A E   d i v e r t s \ T a g I n f o \ V a l u e & l t ; / K e y & g t ; & l t ; / a : K e y & g t ; & l t ; a : V a l u e   i : t y p e = " M e a s u r e G r i d B a s e V i e w S t a t e \ I D i a g r a m T a g A d d i t i o n a l I n f o " / & g t ; & l t ; / a : K e y V a l u e O f D i a g r a m O b j e c t K e y a n y T y p e z b w N T n L X & g t ; & l t ; a : K e y V a l u e O f D i a g r a m O b j e c t K e y a n y T y p e z b w N T n L X & g t ; & l t ; a : K e y & g t ; & l t ; K e y & g t ; M e a s u r e s \ S u m   o f   G A   t o t a l   b e d s   o c c u p i e d & l t ; / K e y & g t ; & l t ; / a : K e y & g t ; & l t ; a : V a l u e   i : t y p e = " M e a s u r e G r i d N o d e V i e w S t a t e " & g t ; & l t ; C o l u m n & g t ; 2 2 & l t ; / C o l u m n & g t ; & l t ; L a y e d O u t & g t ; t r u e & l t ; / L a y e d O u t & g t ; & l t ; W a s U I I n v i s i b l e & g t ; t r u e & l t ; / W a s U I I n v i s i b l e & g t ; & l t ; / a : V a l u e & g t ; & l t ; / a : K e y V a l u e O f D i a g r a m O b j e c t K e y a n y T y p e z b w N T n L X & g t ; & l t ; a : K e y V a l u e O f D i a g r a m O b j e c t K e y a n y T y p e z b w N T n L X & g t ; & l t ; a : K e y & g t ; & l t ; K e y & g t ; M e a s u r e s \ S u m   o f   G A   t o t a l   b e d s   o c c u p i e d \ T a g I n f o \ F o r m u l a & l t ; / K e y & g t ; & l t ; / a : K e y & g t ; & l t ; a : V a l u e   i : t y p e = " M e a s u r e G r i d B a s e V i e w S t a t e \ I D i a g r a m T a g A d d i t i o n a l I n f o " / & g t ; & l t ; / a : K e y V a l u e O f D i a g r a m O b j e c t K e y a n y T y p e z b w N T n L X & g t ; & l t ; a : K e y V a l u e O f D i a g r a m O b j e c t K e y a n y T y p e z b w N T n L X & g t ; & l t ; a : K e y & g t ; & l t ; K e y & g t ; M e a s u r e s \ S u m   o f   G A   t o t a l   b e d s   o c c u p i e d \ T a g I n f o \ V a l u e & l t ; / K e y & g t ; & l t ; / a : K e y & g t ; & l t ; a : V a l u e   i : t y p e = " M e a s u r e G r i d B a s e V i e w S t a t e \ I D i a g r a m T a g A d d i t i o n a l I n f o " / & g t ; & l t ; / a : K e y V a l u e O f D i a g r a m O b j e c t K e y a n y T y p e z b w N T n L X & g t ; & l t ; a : K e y V a l u e O f D i a g r a m O b j e c t K e y a n y T y p e z b w N T n L X & g t ; & l t ; a : K e y & g t ; & l t ; K e y & g t ; M e a s u r e s \ A v e r a g e   o f   G A   t o t a l   b e d s   o c c u p i e d & l t ; / K e y & g t ; & l t ; / a : K e y & g t ; & l t ; a : V a l u e   i : t y p e = " M e a s u r e G r i d N o d e V i e w S t a t e " & g t ; & l t ; C o l u m n & g t ; 2 2 & l t ; / C o l u m n & g t ; & l t ; L a y e d O u t & g t ; t r u e & l t ; / L a y e d O u t & g t ; & l t ; R o w & g t ; 1 & l t ; / R o w & g t ; & l t ; W a s U I I n v i s i b l e & g t ; t r u e & l t ; / W a s U I I n v i s i b l e & g t ; & l t ; / a : V a l u e & g t ; & l t ; / a : K e y V a l u e O f D i a g r a m O b j e c t K e y a n y T y p e z b w N T n L X & g t ; & l t ; a : K e y V a l u e O f D i a g r a m O b j e c t K e y a n y T y p e z b w N T n L X & g t ; & l t ; a : K e y & g t ; & l t ; K e y & g t ; M e a s u r e s \ A v e r a g e   o f   G A   t o t a l   b e d s   o c c u p i e d \ T a g I n f o \ F o r m u l a & l t ; / K e y & g t ; & l t ; / a : K e y & g t ; & l t ; a : V a l u e   i : t y p e = " M e a s u r e G r i d B a s e V i e w S t a t e \ I D i a g r a m T a g A d d i t i o n a l I n f o " / & g t ; & l t ; / a : K e y V a l u e O f D i a g r a m O b j e c t K e y a n y T y p e z b w N T n L X & g t ; & l t ; a : K e y V a l u e O f D i a g r a m O b j e c t K e y a n y T y p e z b w N T n L X & g t ; & l t ; a : K e y & g t ; & l t ; K e y & g t ; M e a s u r e s \ A v e r a g e   o f   G A   t o t a l   b e d s   o c c u p i e d \ T a g I n f o \ V a l u e & l t ; / K e y & g t ; & l t ; / a : K e y & g t ; & l t ; a : V a l u e   i : t y p e = " M e a s u r e G r i d B a s e V i e w S t a t e \ I D i a g r a m T a g A d d i t i o n a l I n f o " / & g t ; & l t ; / a : K e y V a l u e O f D i a g r a m O b j e c t K e y a n y T y p e z b w N T n L X & g t ; & l t ; a : K e y V a l u e O f D i a g r a m O b j e c t K e y a n y T y p e z b w N T n L X & g t ; & l t ; a : K e y & g t ; & l t ; K e y & g t ; M e a s u r e s \ S u m   o f   G A   t o t a l   b e d s   a v a i l & l t ; / K e y & g t ; & l t ; / a : K e y & g t ; & l t ; a : V a l u e   i : t y p e = " M e a s u r e G r i d N o d e V i e w S t a t e " & g t ; & l t ; C o l u m n & g t ; 2 1 & l t ; / C o l u m n & g t ; & l t ; L a y e d O u t & g t ; t r u e & l t ; / L a y e d O u t & g t ; & l t ; W a s U I I n v i s i b l e & g t ; t r u e & l t ; / W a s U I I n v i s i b l e & g t ; & l t ; / a : V a l u e & g t ; & l t ; / a : K e y V a l u e O f D i a g r a m O b j e c t K e y a n y T y p e z b w N T n L X & g t ; & l t ; a : K e y V a l u e O f D i a g r a m O b j e c t K e y a n y T y p e z b w N T n L X & g t ; & l t ; a : K e y & g t ; & l t ; K e y & g t ; M e a s u r e s \ S u m   o f   G A   t o t a l   b e d s   a v a i l \ T a g I n f o \ F o r m u l a & l t ; / K e y & g t ; & l t ; / a : K e y & g t ; & l t ; a : V a l u e   i : t y p e = " M e a s u r e G r i d B a s e V i e w S t a t e \ I D i a g r a m T a g A d d i t i o n a l I n f o " / & g t ; & l t ; / a : K e y V a l u e O f D i a g r a m O b j e c t K e y a n y T y p e z b w N T n L X & g t ; & l t ; a : K e y V a l u e O f D i a g r a m O b j e c t K e y a n y T y p e z b w N T n L X & g t ; & l t ; a : K e y & g t ; & l t ; K e y & g t ; M e a s u r e s \ S u m   o f   G A   t o t a l   b e d s   a v a i l \ T a g I n f o \ V a l u e & l t ; / K e y & g t ; & l t ; / a : K e y & g t ; & l t ; a : V a l u e   i : t y p e = " M e a s u r e G r i d B a s e V i e w S t a t e \ I D i a g r a m T a g A d d i t i o n a l I n f o " / & g t ; & l t ; / a : K e y V a l u e O f D i a g r a m O b j e c t K e y a n y T y p e z b w N T n L X & g t ; & l t ; a : K e y V a l u e O f D i a g r a m O b j e c t K e y a n y T y p e z b w N T n L X & g t ; & l t ; a : K e y & g t ; & l t ; K e y & g t ; M e a s u r e s \ S u m   o f   B e d s   o c c   o v e r   7   d a y s & l t ; / K e y & g t ; & l t ; / a : K e y & g t ; & l t ; a : V a l u e   i : t y p e = " M e a s u r e G r i d N o d e V i e w S t a t e " & g t ; & l t ; C o l u m n & g t ; 3 6 & l t ; / C o l u m n & g t ; & l t ; L a y e d O u t & g t ; t r u e & l t ; / L a y e d O u t & g t ; & l t ; W a s U I I n v i s i b l e & g t ; t r u e & l t ; / W a s U I I n v i s i b l e & g t ; & l t ; / a : V a l u e & g t ; & l t ; / a : K e y V a l u e O f D i a g r a m O b j e c t K e y a n y T y p e z b w N T n L X & g t ; & l t ; a : K e y V a l u e O f D i a g r a m O b j e c t K e y a n y T y p e z b w N T n L X & g t ; & l t ; a : K e y & g t ; & l t ; K e y & g t ; M e a s u r e s \ S u m   o f   B e d s   o c c   o v e r   7   d a y s \ T a g I n f o \ F o r m u l a & l t ; / K e y & g t ; & l t ; / a : K e y & g t ; & l t ; a : V a l u e   i : t y p e = " M e a s u r e G r i d B a s e V i e w S t a t e \ I D i a g r a m T a g A d d i t i o n a l I n f o " / & g t ; & l t ; / a : K e y V a l u e O f D i a g r a m O b j e c t K e y a n y T y p e z b w N T n L X & g t ; & l t ; a : K e y V a l u e O f D i a g r a m O b j e c t K e y a n y T y p e z b w N T n L X & g t ; & l t ; a : K e y & g t ; & l t ; K e y & g t ; M e a s u r e s \ S u m   o f   B e d s   o c c   o v e r   7   d a y s \ T a g I n f o \ V a l u e & l t ; / K e y & g t ; & l t ; / a : K e y & g t ; & l t ; a : V a l u e   i : t y p e = " M e a s u r e G r i d B a s e V i e w S t a t e \ I D i a g r a m T a g A d d i t i o n a l I n f o " / & g t ; & l t ; / a : K e y V a l u e O f D i a g r a m O b j e c t K e y a n y T y p e z b w N T n L X & g t ; & l t ; a : K e y V a l u e O f D i a g r a m O b j e c t K e y a n y T y p e z b w N T n L X & g t ; & l t ; a : K e y & g t ; & l t ; K e y & g t ; M e a s u r e s \ S u m 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S u m   o f   B e d s   o c c   o v e r   2 1   d a y s \ T a g I n f o \ F o r m u l a & l t ; / K e y & g t ; & l t ; / a : K e y & g t ; & l t ; a : V a l u e   i : t y p e = " M e a s u r e G r i d B a s e V i e w S t a t e \ I D i a g r a m T a g A d d i t i o n a l I n f o " / & g t ; & l t ; / a : K e y V a l u e O f D i a g r a m O b j e c t K e y a n y T y p e z b w N T n L X & g t ; & l t ; a : K e y V a l u e O f D i a g r a m O b j e c t K e y a n y T y p e z b w N T n L X & g t ; & l t ; a : K e y & g t ; & l t ; K e y & g t ; M e a s u r e s \ S u m   o f   B e d s   o c c   o v e r   2 1   d a y s \ T a g I n f o \ V a l u e & l t ; / K e y & g t ; & l t ; / a : K e y & g t ; & l t ; a : V a l u e   i : t y p e = " M e a s u r e G r i d B a s e V i e w S t a t e \ I D i a g r a m T a g A d d i t i o n a l I n f o " / & g t ; & l t ; / a : K e y V a l u e O f D i a g r a m O b j e c t K e y a n y T y p e z b w N T n L X & g t ; & l t ; a : K e y V a l u e O f D i a g r a m O b j e c t K e y a n y T y p e z b w N T n L X & g t ; & l t ; a : K e y & g t ; & l t ; K e y & g t ; M e a s u r e s \ A v e r a g e   o f   B e d s   o c c   o v e r   2 1   d a y s & l t ; / K e y & g t ; & l t ; / a : K e y & g t ; & l t ; a : V a l u e   i : t y p e = " M e a s u r e G r i d N o d e V i e w S t a t e " & g t ; & l t ; C o l u m n & g t ; 3 7 & l t ; / C o l u m n & g t ; & l t ; L a y e d O u t & g t ; t r u e & l t ; / L a y e d O u t & g t ; & l t ; R o w & g t ; 1 & l t ; / R o w & g t ; & l t ; W a s U I I n v i s i b l e & g t ; t r u e & l t ; / W a s U I I n v i s i b l e & g t ; & l t ; / a : V a l u e & g t ; & l t ; / a : K e y V a l u e O f D i a g r a m O b j e c t K e y a n y T y p e z b w N T n L X & g t ; & l t ; a : K e y V a l u e O f D i a g r a m O b j e c t K e y a n y T y p e z b w N T n L X & g t ; & l t ; a : K e y & g t ; & l t ; K e y & g t ; M e a s u r e s \ A v e r a g e   o f   B e d s   o c c   o v e r   2 1   d a y s \ T a g I n f o \ F o r m u l a & l t ; / K e y & g t ; & l t ; / a : K e y & g t ; & l t ; a : V a l u e   i : t y p e = " M e a s u r e G r i d B a s e V i e w S t a t e \ I D i a g r a m T a g A d d i t i o n a l I n f o " / & g t ; & l t ; / a : K e y V a l u e O f D i a g r a m O b j e c t K e y a n y T y p e z b w N T n L X & g t ; & l t ; a : K e y V a l u e O f D i a g r a m O b j e c t K e y a n y T y p e z b w N T n L X & g t ; & l t ; a : K e y & g t ; & l t ; K e y & g t ; M e a s u r e s \ A v e r a g e   o f   B e d s   o c c   o v e r   2 1   d a y s \ T a g I n f o \ V a l u e & l t ; / K e y & g t ; & l t ; / a : K e y & g t ; & l t ; a : V a l u e   i : t y p e = " M e a s u r e G r i d B a s e V i e w S t a t e \ I D i a g r a m T a g A d d i t i o n a l I n f o " / & g t ; & l t ; / a : K e y V a l u e O f D i a g r a m O b j e c t K e y a n y T y p e z b w N T n L X & g t ; & l t ; a : K e y V a l u e O f D i a g r a m O b j e c t K e y a n y T y p e z b w N T n L X & g t ; & l t ; a : K e y & g t ; & l t ; K e y & g t ; M e a s u r e s \ S u m 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S u m   o f   B e d s   c l o s e d   n o r o v i r u s \ T a g I n f o \ F o r m u l a & l t ; / K e y & g t ; & l t ; / a : K e y & g t ; & l t ; a : V a l u e   i : t y p e = " M e a s u r e G r i d B a s e V i e w S t a t e \ I D i a g r a m T a g A d d i t i o n a l I n f o " / & g t ; & l t ; / a : K e y V a l u e O f D i a g r a m O b j e c t K e y a n y T y p e z b w N T n L X & g t ; & l t ; a : K e y V a l u e O f D i a g r a m O b j e c t K e y a n y T y p e z b w N T n L X & g t ; & l t ; a : K e y & g t ; & l t ; K e y & g t ; M e a s u r e s \ S u m   o f   B e d s   c l o s e d   n o r o v i r u s \ T a g I n f o \ V a l u e & l t ; / K e y & g t ; & l t ; / a : K e y & g t ; & l t ; a : V a l u e   i : t y p e = " M e a s u r e G r i d B a s e V i e w S t a t e \ I D i a g r a m T a g A d d i t i o n a l I n f o " / & g t ; & l t ; / a : K e y V a l u e O f D i a g r a m O b j e c t K e y a n y T y p e z b w N T n L X & g t ; & l t ; a : K e y V a l u e O f D i a g r a m O b j e c t K e y a n y T y p e z b w N T n L X & g t ; & l t ; a : K e y & g t ; & l t ; K e y & g t ; M e a s u r e s \ A v e r a g e   o f   B e d s   c l o s e d   n o r o v i r u s & l t ; / K e y & g t ; & l t ; / a : K e y & g t ; & l t ; a : V a l u e   i : t y p e = " M e a s u r e G r i d N o d e V i e w S t a t e " & g t ; & l t ; C o l u m n & g t ; 2 4 & l t ; / C o l u m n & g t ; & l t ; L a y e d O u t & g t ; t r u e & l t ; / L a y e d O u t & g t ; & l t ; R o w & g t ; 1 & l t ; / R o w & g t ; & l t ; W a s U I I n v i s i b l e & g t ; t r u e & l t ; / W a s U I I n v i s i b l e & g t ; & l t ; / a : V a l u e & g t ; & l t ; / a : K e y V a l u e O f D i a g r a m O b j e c t K e y a n y T y p e z b w N T n L X & g t ; & l t ; a : K e y V a l u e O f D i a g r a m O b j e c t K e y a n y T y p e z b w N T n L X & g t ; & l t ; a : K e y & g t ; & l t ; K e y & g t ; M e a s u r e s \ A v e r a g e   o f   B e d s   c l o s e d   n o r o v i r u s \ T a g I n f o \ F o r m u l a & l t ; / K e y & g t ; & l t ; / a : K e y & g t ; & l t ; a : V a l u e   i : t y p e = " M e a s u r e G r i d B a s e V i e w S t a t e \ I D i a g r a m T a g A d d i t i o n a l I n f o " / & g t ; & l t ; / a : K e y V a l u e O f D i a g r a m O b j e c t K e y a n y T y p e z b w N T n L X & g t ; & l t ; a : K e y V a l u e O f D i a g r a m O b j e c t K e y a n y T y p e z b w N T n L X & g t ; & l t ; a : K e y & g t ; & l t ; K e y & g t ; M e a s u r e s \ A v e r a g e   o f   B e d s   c l o s e d   n o r o v i r u s \ T a g I n f o \ V a l u e & l t ; / K e y & g t ; & l t ; / a : K e y & g t ; & l t ; a : V a l u e   i : t y p e = " M e a s u r e G r i d B a s e V i e w S t a t e \ I D i a g r a m T a g A d d i t i o n a l I n f o " / & g t ; & l t ; / a : K e y V a l u e O f D i a g r a m O b j e c t K e y a n y T y p e z b w N T n L X & g t ; & l t ; a : K e y V a l u e O f D i a g r a m O b j e c t K e y a n y T y p e z b w N T n L X & g t ; & l t ; a : K e y & g t ; & l t ; K e y & g t ; M e a s u r e s \ S u m   o f   B e d s   c l o s e d   n o r o v i u s   u n o c c & l t ; / K e y & g t ; & l t ; / a : K e y & g t ; & l t ; a : V a l u e   i : t y p e = " M e a s u r e G r i d N o d e V i e w S t a t e " & g t ; & l t ; C o l u m n & g t ; 2 5 & l t ; / C o l u m n & g t ; & l t ; L a y e d O u t & g t ; t r u e & l t ; / L a y e d O u t & g t ; & l t ; W a s U I I n v i s i b l e & g t ; t r u e & l t ; / W a s U I I n v i s i b l e & g t ; & l t ; / a : V a l u e & g t ; & l t ; / a : K e y V a l u e O f D i a g r a m O b j e c t K e y a n y T y p e z b w N T n L X & g t ; & l t ; a : K e y V a l u e O f D i a g r a m O b j e c t K e y a n y T y p e z b w N T n L X & g t ; & l t ; a : K e y & g t ; & l t ; K e y & g t ; M e a s u r e s \ S u m   o f   B e d s   c l o s e d   n o r o v i u s   u n o c c \ T a g I n f o \ F o r m u l a & l t ; / K e y & g t ; & l t ; / a : K e y & g t ; & l t ; a : V a l u e   i : t y p e = " M e a s u r e G r i d B a s e V i e w S t a t e \ I D i a g r a m T a g A d d i t i o n a l I n f o " / & g t ; & l t ; / a : K e y V a l u e O f D i a g r a m O b j e c t K e y a n y T y p e z b w N T n L X & g t ; & l t ; a : K e y V a l u e O f D i a g r a m O b j e c t K e y a n y T y p e z b w N T n L X & g t ; & l t ; a : K e y & g t ; & l t ; K e y & g t ; M e a s u r e s \ S u m   o f   B e d s   c l o s e d   n o r o v i u s   u n o c c \ T a g I n f o \ V a l u e & l t ; / K e y & g t ; & l t ; / a : K e y & g t ; & l t ; a : V a l u e   i : t y p e = " M e a s u r e G r i d B a s e V i e w S t a t e \ I D i a g r a m T a g A d d i t i o n a l I n f o " / & g t ; & l t ; / a : K e y V a l u e O f D i a g r a m O b j e c t K e y a n y T y p e z b w N T n L X & g t ; & l t ; a : K e y V a l u e O f D i a g r a m O b j e c t K e y a n y T y p e z b w N T n L X & g t ; & l t ; a : K e y & g t ; & l t ; K e y & g t ; M e a s u r e s \ S u m   o f   A m b   a r r i v a l s & l t ; / K e y & g t ; & l t ; / a : K e y & g t ; & l t ; a : V a l u e   i : t y p e = " M e a s u r e G r i d N o d e V i e w S t a t e " & g t ; & l t ; C o l u m n & g t ; 3 8 & l t ; / C o l u m n & g t ; & l t ; L a y e d O u t & g t ; t r u e & l t ; / L a y e d O u t & g t ; & l t ; W a s U I I n v i s i b l e & g t ; t r u e & l t ; / W a s U I I n v i s i b l e & g t ; & l t ; / a : V a l u e & g t ; & l t ; / a : K e y V a l u e O f D i a g r a m O b j e c t K e y a n y T y p e z b w N T n L X & g t ; & l t ; a : K e y V a l u e O f D i a g r a m O b j e c t K e y a n y T y p e z b w N T n L X & g t ; & l t ; a : K e y & g t ; & l t ; K e y & g t ; M e a s u r e s \ S u m   o f   A m b   a r r i v a l s \ T a g I n f o \ F o r m u l a & l t ; / K e y & g t ; & l t ; / a : K e y & g t ; & l t ; a : V a l u e   i : t y p e = " M e a s u r e G r i d B a s e V i e w S t a t e \ I D i a g r a m T a g A d d i t i o n a l I n f o " / & g t ; & l t ; / a : K e y V a l u e O f D i a g r a m O b j e c t K e y a n y T y p e z b w N T n L X & g t ; & l t ; a : K e y V a l u e O f D i a g r a m O b j e c t K e y a n y T y p e z b w N T n L X & g t ; & l t ; a : K e y & g t ; & l t ; K e y & g t ; M e a s u r e s \ S u m   o f   A m b   a r r i v a l s \ T a g I n f o \ V a l u e & l t ; / K e y & g t ; & l t ; / a : K e y & g t ; & l t ; a : V a l u e   i : t y p e = " M e a s u r e G r i d B a s e V i e w S t a t e \ I D i a g r a m T a g A d d i t i o n a l I n f o " / & g t ; & l t ; / a : K e y V a l u e O f D i a g r a m O b j e c t K e y a n y T y p e z b w N T n L X & g t ; & l t ; a : K e y V a l u e O f D i a g r a m O b j e c t K e y a n y T y p e z b w N T n L X & g t ; & l t ; a : K e y & g t ; & l t ; K e y & g t ; M e a s u r e s \ S u m   o f   A m b   d e l a y s   3 0 - 6 0   m i n s & l t ; / K e y & g t ; & l t ; / a : K e y & g t ; & l t ; a : V a l u e   i : t y p e = " M e a s u r e G r i d N o d e V i e w S t a t e " & g t ; & l t ; C o l u m n & g t ; 3 9 & l t ; / C o l u m n & g t ; & l t ; L a y e d O u t & g t ; t r u e & l t ; / L a y e d O u t & g t ; & l t ; W a s U I I n v i s i b l e & g t ; t r u e & l t ; / W a s U I I n v i s i b l e & g t ; & l t ; / a : V a l u e & g t ; & l t ; / a : K e y V a l u e O f D i a g r a m O b j e c t K e y a n y T y p e z b w N T n L X & g t ; & l t ; a : K e y V a l u e O f D i a g r a m O b j e c t K e y a n y T y p e z b w N T n L X & g t ; & l t ; a : K e y & g t ; & l t ; K e y & g t ; M e a s u r e s \ S u m   o f   A m b   d e l a y s   3 0 - 6 0   m i n s \ T a g I n f o \ F o r m u l a & l t ; / K e y & g t ; & l t ; / a : K e y & g t ; & l t ; a : V a l u e   i : t y p e = " M e a s u r e G r i d B a s e V i e w S t a t e \ I D i a g r a m T a g A d d i t i o n a l I n f o " / & g t ; & l t ; / a : K e y V a l u e O f D i a g r a m O b j e c t K e y a n y T y p e z b w N T n L X & g t ; & l t ; a : K e y V a l u e O f D i a g r a m O b j e c t K e y a n y T y p e z b w N T n L X & g t ; & l t ; a : K e y & g t ; & l t ; K e y & g t ; M e a s u r e s \ S u m   o f   A m b   d e l a y s   3 0 - 6 0   m i n s \ T a g I n f o \ V a l u e & l t ; / K e y & g t ; & l t ; / a : K e y & g t ; & l t ; a : V a l u e   i : t y p e = " M e a s u r e G r i d B a s e V i e w S t a t e \ I D i a g r a m T a g A d d i t i o n a l I n f o " / & g t ; & l t ; / a : K e y V a l u e O f D i a g r a m O b j e c t K e y a n y T y p e z b w N T n L X & g t ; & l t ; a : K e y V a l u e O f D i a g r a m O b j e c t K e y a n y T y p e z b w N T n L X & g t ; & l t ; a : K e y & g t ; & l t ; K e y & g t ; M e a s u r e s \ S u m   o f   A m b   d e l a y s   o v e r   6 0   m i n s & l t ; / K e y & g t ; & l t ; / a : K e y & g t ; & l t ; a : V a l u e   i : t y p e = " M e a s u r e G r i d N o d e V i e w S t a t e " & g t ; & l t ; C o l u m n & g t ; 4 0 & l t ; / C o l u m n & g t ; & l t ; L a y e d O u t & g t ; t r u e & l t ; / L a y e d O u t & g t ; & l t ; W a s U I I n v i s i b l e & g t ; t r u e & l t ; / W a s U I I n v i s i b l e & g t ; & l t ; / a : V a l u e & g t ; & l t ; / a : K e y V a l u e O f D i a g r a m O b j e c t K e y a n y T y p e z b w N T n L X & g t ; & l t ; a : K e y V a l u e O f D i a g r a m O b j e c t K e y a n y T y p e z b w N T n L X & g t ; & l t ; a : K e y & g t ; & l t ; K e y & g t ; M e a s u r e s \ S u m   o f   A m b   d e l a y s   o v e r   6 0   m i n s \ T a g I n f o \ F o r m u l a & l t ; / K e y & g t ; & l t ; / a : K e y & g t ; & l t ; a : V a l u e   i : t y p e = " M e a s u r e G r i d B a s e V i e w S t a t e \ I D i a g r a m T a g A d d i t i o n a l I n f o " / & g t ; & l t ; / a : K e y V a l u e O f D i a g r a m O b j e c t K e y a n y T y p e z b w N T n L X & g t ; & l t ; a : K e y V a l u e O f D i a g r a m O b j e c t K e y a n y T y p e z b w N T n L X & g t ; & l t ; a : K e y & g t ; & l t ; K e y & g t ; M e a s u r e s \ S u m   o f   A m b   d e l a y s   o v e r   6 0   m i n s \ T a g I n f o \ V a l u e & l t ; / K e y & g t ; & l t ; / a : K e y & g t ; & l t ; a : V a l u e   i : t y p e = " M e a s u r e G r i d B a s e V i e w S t a t e \ I D i a g r a m T a g A d d i t i o n a l I n f o " / & g t ; & l t ; / a : K e y V a l u e O f D i a g r a m O b j e c t K e y a n y T y p e z b w N T n L X & g t ; & l t ; a : K e y V a l u e O f D i a g r a m O b j e c t K e y a n y T y p e z b w N T n L X & g t ; & l t ; a : K e y & g t ; & l t ; K e y & g t ; M e a s u r e s \ S u m   o f   A d u l t   C C   b e d s   a v a i l & l t ; / K e y & g t ; & l t ; / a : K e y & g t ; & l t ; a : V a l u e   i : t y p e = " M e a s u r e G r i d N o d e V i e w S t a t e " & g t ; & l t ; C o l u m n & g t ; 2 6 & l t ; / C o l u m n & g t ; & l t ; L a y e d O u t & g t ; t r u e & l t ; / L a y e d O u t & g t ; & l t ; W a s U I I n v i s i b l e & g t ; t r u e & l t ; / W a s U I I n v i s i b l e & g t ; & l t ; / a : V a l u e & g t ; & l t ; / a : K e y V a l u e O f D i a g r a m O b j e c t K e y a n y T y p e z b w N T n L X & g t ; & l t ; a : K e y V a l u e O f D i a g r a m O b j e c t K e y a n y T y p e z b w N T n L X & g t ; & l t ; a : K e y & g t ; & l t ; K e y & g t ; M e a s u r e s \ S u m   o f   A d u l t   C C   b e d s   a v a i l \ T a g I n f o \ F o r m u l a & l t ; / K e y & g t ; & l t ; / a : K e y & g t ; & l t ; a : V a l u e   i : t y p e = " M e a s u r e G r i d B a s e V i e w S t a t e \ I D i a g r a m T a g A d d i t i o n a l I n f o " / & g t ; & l t ; / a : K e y V a l u e O f D i a g r a m O b j e c t K e y a n y T y p e z b w N T n L X & g t ; & l t ; a : K e y V a l u e O f D i a g r a m O b j e c t K e y a n y T y p e z b w N T n L X & g t ; & l t ; a : K e y & g t ; & l t ; K e y & g t ; M e a s u r e s \ S u m   o f   A d u l t   C C   b e d s   a v a i l \ T a g I n f o \ V a l u e & l t ; / K e y & g t ; & l t ; / a : K e y & g t ; & l t ; a : V a l u e   i : t y p e = " M e a s u r e G r i d B a s e V i e w S t a t e \ I D i a g r a m T a g A d d i t i o n a l I n f o " / & g t ; & l t ; / a : K e y V a l u e O f D i a g r a m O b j e c t K e y a n y T y p e z b w N T n L X & g t ; & l t ; a : K e y V a l u e O f D i a g r a m O b j e c t K e y a n y T y p e z b w N T n L X & g t ; & l t ; a : K e y & g t ; & l t ; K e y & g t ; M e a s u r e s \ S u m   o f   A d u l t   C C   b e d s   o c c & l t ; / K e y & g t ; & l t ; / a : K e y & g t ; & l t ; a : V a l u e   i : t y p e = " M e a s u r e G r i d N o d e V i e w S t a t e " & g t ; & l t ; C o l u m n & g t ; 2 7 & l t ; / C o l u m n & g t ; & l t ; L a y e d O u t & g t ; t r u e & l t ; / L a y e d O u t & g t ; & l t ; W a s U I I n v i s i b l e & g t ; t r u e & l t ; / W a s U I I n v i s i b l e & g t ; & l t ; / a : V a l u e & g t ; & l t ; / a : K e y V a l u e O f D i a g r a m O b j e c t K e y a n y T y p e z b w N T n L X & g t ; & l t ; a : K e y V a l u e O f D i a g r a m O b j e c t K e y a n y T y p e z b w N T n L X & g t ; & l t ; a : K e y & g t ; & l t ; K e y & g t ; M e a s u r e s \ S u m   o f   A d u l t   C C   b e d s   o c c \ T a g I n f o \ F o r m u l a & l t ; / K e y & g t ; & l t ; / a : K e y & g t ; & l t ; a : V a l u e   i : t y p e = " M e a s u r e G r i d B a s e V i e w S t a t e \ I D i a g r a m T a g A d d i t i o n a l I n f o " / & g t ; & l t ; / a : K e y V a l u e O f D i a g r a m O b j e c t K e y a n y T y p e z b w N T n L X & g t ; & l t ; a : K e y V a l u e O f D i a g r a m O b j e c t K e y a n y T y p e z b w N T n L X & g t ; & l t ; a : K e y & g t ; & l t ; K e y & g t ; M e a s u r e s \ S u m   o f   A d u l t   C C   b e d s   o c c \ T a g I n f o \ V a l u e & l t ; / K e y & g t ; & l t ; / a : K e y & g t ; & l t ; a : V a l u e   i : t y p e = " M e a s u r e G r i d B a s e V i e w S t a t e \ I D i a g r a m T a g A d d i t i o n a l I n f o " / & g t ; & l t ; / a : K e y V a l u e O f D i a g r a m O b j e c t K e y a n y T y p e z b w N T n L X & g t ; & l t ; a : K e y V a l u e O f D i a g r a m O b j e c t K e y a n y T y p e z b w N T n L X & g t ; & l t ; a : K e y & g t ; & l t ; K e y & g t ; M e a s u r e s \ S u m   o f   P a e d   I n t   C a r e   A v a i l & l t ; / K e y & g t ; & l t ; / a : K e y & g t ; & l t ; a : V a l u e   i : t y p e = " M e a s u r e G r i d N o d e V i e w S t a t e " & g t ; & l t ; C o l u m n & g t ; 2 8 & l t ; / C o l u m n & g t ; & l t ; L a y e d O u t & g t ; t r u e & l t ; / L a y e d O u t & g t ; & l t ; W a s U I I n v i s i b l e & g t ; t r u e & l t ; / W a s U I I n v i s i b l e & g t ; & l t ; / a : V a l u e & g t ; & l t ; / a : K e y V a l u e O f D i a g r a m O b j e c t K e y a n y T y p e z b w N T n L X & g t ; & l t ; a : K e y V a l u e O f D i a g r a m O b j e c t K e y a n y T y p e z b w N T n L X & g t ; & l t ; a : K e y & g t ; & l t ; K e y & g t ; M e a s u r e s \ S u m   o f   P a e d   I n t   C a r e   A v a i l \ T a g I n f o \ F o r m u l a & l t ; / K e y & g t ; & l t ; / a : K e y & g t ; & l t ; a : V a l u e   i : t y p e = " M e a s u r e G r i d B a s e V i e w S t a t e \ I D i a g r a m T a g A d d i t i o n a l I n f o " / & g t ; & l t ; / a : K e y V a l u e O f D i a g r a m O b j e c t K e y a n y T y p e z b w N T n L X & g t ; & l t ; a : K e y V a l u e O f D i a g r a m O b j e c t K e y a n y T y p e z b w N T n L X & g t ; & l t ; a : K e y & g t ; & l t ; K e y & g t ; M e a s u r e s \ S u m   o f   P a e d   I n t   C a r e   A v a i l \ T a g I n f o \ V a l u e & l t ; / K e y & g t ; & l t ; / a : K e y & g t ; & l t ; a : V a l u e   i : t y p e = " M e a s u r e G r i d B a s e V i e w S t a t e \ I D i a g r a m T a g A d d i t i o n a l I n f o " / & g t ; & l t ; / a : K e y V a l u e O f D i a g r a m O b j e c t K e y a n y T y p e z b w N T n L X & g t ; & l t ; a : K e y V a l u e O f D i a g r a m O b j e c t K e y a n y T y p e z b w N T n L X & g t ; & l t ; a : K e y & g t ; & l t ; K e y & g t ; M e a s u r e s \ S u m   o f   P a e d   I n t   C a r e   O c c & l t ; / K e y & g t ; & l t ; / a : K e y & g t ; & l t ; a : V a l u e   i : t y p e = " M e a s u r e G r i d N o d e V i e w S t a t e " & g t ; & l t ; C o l u m n & g t ; 2 9 & l t ; / C o l u m n & g t ; & l t ; L a y e d O u t & g t ; t r u e & l t ; / L a y e d O u t & g t ; & l t ; W a s U I I n v i s i b l e & g t ; t r u e & l t ; / W a s U I I n v i s i b l e & g t ; & l t ; / a : V a l u e & g t ; & l t ; / a : K e y V a l u e O f D i a g r a m O b j e c t K e y a n y T y p e z b w N T n L X & g t ; & l t ; a : K e y V a l u e O f D i a g r a m O b j e c t K e y a n y T y p e z b w N T n L X & g t ; & l t ; a : K e y & g t ; & l t ; K e y & g t ; M e a s u r e s \ S u m   o f   P a e d   I n t   C a r e   O c c \ T a g I n f o \ F o r m u l a & l t ; / K e y & g t ; & l t ; / a : K e y & g t ; & l t ; a : V a l u e   i : t y p e = " M e a s u r e G r i d B a s e V i e w S t a t e \ I D i a g r a m T a g A d d i t i o n a l I n f o " / & g t ; & l t ; / a : K e y V a l u e O f D i a g r a m O b j e c t K e y a n y T y p e z b w N T n L X & g t ; & l t ; a : K e y V a l u e O f D i a g r a m O b j e c t K e y a n y T y p e z b w N T n L X & g t ; & l t ; a : K e y & g t ; & l t ; K e y & g t ; M e a s u r e s \ S u m   o f   P a e d   I n t   C a r e   O c c \ T a g I n f o \ V a l u e & l t ; / K e y & g t ; & l t ; / a : K e y & g t ; & l t ; a : V a l u e   i : t y p e = " M e a s u r e G r i d B a s e V i e w S t a t e \ I D i a g r a m T a g A d d i t i o n a l I n f o " / & g t ; & l t ; / a : K e y V a l u e O f D i a g r a m O b j e c t K e y a n y T y p e z b w N T n L X & g t ; & l t ; a : K e y V a l u e O f D i a g r a m O b j e c t K e y a n y T y p e z b w N T n L X & g t ; & l t ; a : K e y & g t ; & l t ; K e y & g t ; M e a s u r e s \ S u m 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S u m   o f   N e o   I n t   C a r e   A v a i l \ T a g I n f o \ F o r m u l a & l t ; / K e y & g t ; & l t ; / a : K e y & g t ; & l t ; a : V a l u e   i : t y p e = " M e a s u r e G r i d B a s e V i e w S t a t e \ I D i a g r a m T a g A d d i t i o n a l I n f o " / & g t ; & l t ; / a : K e y V a l u e O f D i a g r a m O b j e c t K e y a n y T y p e z b w N T n L X & g t ; & l t ; a : K e y V a l u e O f D i a g r a m O b j e c t K e y a n y T y p e z b w N T n L X & g t ; & l t ; a : K e y & g t ; & l t ; K e y & g t ; M e a s u r e s \ S u m   o f   N e o   I n t   C a r e   A v a i l \ T a g I n f o \ V a l u e & l t ; / K e y & g t ; & l t ; / a : K e y & g t ; & l t ; a : V a l u e   i : t y p e = " M e a s u r e G r i d B a s e V i e w S t a t e \ I D i a g r a m T a g A d d i t i o n a l I n f o " / & g t ; & l t ; / a : K e y V a l u e O f D i a g r a m O b j e c t K e y a n y T y p e z b w N T n L X & g t ; & l t ; a : K e y V a l u e O f D i a g r a m O b j e c t K e y a n y T y p e z b w N T n L X & g t ; & l t ; a : K e y & g t ; & l t ; K e y & g t ; M e a s u r e s \ S u m 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S u m   o f   N e o   I n t   C a r e   o c c \ T a g I n f o \ F o r m u l a & l t ; / K e y & g t ; & l t ; / a : K e y & g t ; & l t ; a : V a l u e   i : t y p e = " M e a s u r e G r i d B a s e V i e w S t a t e \ I D i a g r a m T a g A d d i t i o n a l I n f o " / & g t ; & l t ; / a : K e y V a l u e O f D i a g r a m O b j e c t K e y a n y T y p e z b w N T n L X & g t ; & l t ; a : K e y V a l u e O f D i a g r a m O b j e c t K e y a n y T y p e z b w N T n L X & g t ; & l t ; a : K e y & g t ; & l t ; K e y & g t ; M e a s u r e s \ S u m   o f   N e o   I n t   C a r e   o c c \ T a g I n f o \ V a l u e & l t ; / K e y & g t ; & l t ; / a : K e y & g t ; & l t ; a : V a l u e   i : t y p e = " M e a s u r e G r i d B a s e V i e w S t a t e \ I D i a g r a m T a g A d d i t i o n a l I n f o " / & g t ; & l t ; / a : K e y V a l u e O f D i a g r a m O b j e c t K e y a n y T y p e z b w N T n L X & g t ; & l t ; a : K e y V a l u e O f D i a g r a m O b j e c t K e y a n y T y p e z b w N T n L X & g t ; & l t ; a : K e y & g t ; & l t ; K e y & g t ; M e a s u r e s \ A v e r a g e   o f   N e o   I n t   C a r e   A v a i l & l t ; / K e y & g t ; & l t ; / a : K e y & g t ; & l t ; a : V a l u e   i : t y p e = " M e a s u r e G r i d N o d e V i e w S t a t e " & g t ; & l t ; C o l u m n & g t ; 3 0 & l t ; / C o l u m n & g t ; & l t ; L a y e d O u t & g t ; t r u e & l t ; / L a y e d O u t & g t ; & l t ; R o w & g t ; 1 & l t ; / R o w & g t ; & l t ; W a s U I I n v i s i b l e & g t ; t r u e & l t ; / W a s U I I n v i s i b l e & g t ; & l t ; / a : V a l u e & g t ; & l t ; / a : K e y V a l u e O f D i a g r a m O b j e c t K e y a n y T y p e z b w N T n L X & g t ; & l t ; a : K e y V a l u e O f D i a g r a m O b j e c t K e y a n y T y p e z b w N T n L X & g t ; & l t ; a : K e y & g t ; & l t ; K e y & g t ; M e a s u r e s \ A v e r a g e   o f   N e o   I n t   C a r e   A v a i l \ T a g I n f o \ F o r m u l a & l t ; / K e y & g t ; & l t ; / a : K e y & g t ; & l t ; a : V a l u e   i : t y p e = " M e a s u r e G r i d B a s e V i e w S t a t e \ I D i a g r a m T a g A d d i t i o n a l I n f o " / & g t ; & l t ; / a : K e y V a l u e O f D i a g r a m O b j e c t K e y a n y T y p e z b w N T n L X & g t ; & l t ; a : K e y V a l u e O f D i a g r a m O b j e c t K e y a n y T y p e z b w N T n L X & g t ; & l t ; a : K e y & g t ; & l t ; K e y & g t ; M e a s u r e s \ A v e r a g e   o f   N e o   I n t   C a r e   A v a i l \ T a g I n f o \ V a l u e & l t ; / K e y & g t ; & l t ; / a : K e y & g t ; & l t ; a : V a l u e   i : t y p e = " M e a s u r e G r i d B a s e V i e w S t a t e \ I D i a g r a m T a g A d d i t i o n a l I n f o " / & g t ; & l t ; / a : K e y V a l u e O f D i a g r a m O b j e c t K e y a n y T y p e z b w N T n L X & g t ; & l t ; a : K e y V a l u e O f D i a g r a m O b j e c t K e y a n y T y p e z b w N T n L X & g t ; & l t ; a : K e y & g t ; & l t ; K e y & g t ; M e a s u r e s \ A v e r a g e   o f   N e o   I n t   C a r e   o c c & l t ; / K e y & g t ; & l t ; / a : K e y & g t ; & l t ; a : V a l u e   i : t y p e = " M e a s u r e G r i d N o d e V i e w S t a t e " & g t ; & l t ; C o l u m n & g t ; 3 1 & l t ; / C o l u m n & g t ; & l t ; L a y e d O u t & g t ; t r u e & l t ; / L a y e d O u t & g t ; & l t ; R o w & g t ; 1 & l t ; / R o w & g t ; & l t ; W a s U I I n v i s i b l e & g t ; t r u e & l t ; / W a s U I I n v i s i b l e & g t ; & l t ; / a : V a l u e & g t ; & l t ; / a : K e y V a l u e O f D i a g r a m O b j e c t K e y a n y T y p e z b w N T n L X & g t ; & l t ; a : K e y V a l u e O f D i a g r a m O b j e c t K e y a n y T y p e z b w N T n L X & g t ; & l t ; a : K e y & g t ; & l t ; K e y & g t ; M e a s u r e s \ A v e r a g e   o f   N e o   I n t   C a r e   o c c \ T a g I n f o \ F o r m u l a & l t ; / K e y & g t ; & l t ; / a : K e y & g t ; & l t ; a : V a l u e   i : t y p e = " M e a s u r e G r i d B a s e V i e w S t a t e \ I D i a g r a m T a g A d d i t i o n a l I n f o " / & g t ; & l t ; / a : K e y V a l u e O f D i a g r a m O b j e c t K e y a n y T y p e z b w N T n L X & g t ; & l t ; a : K e y V a l u e O f D i a g r a m O b j e c t K e y a n y T y p e z b w N T n L X & g t ; & l t ; a : K e y & g t ; & l t ; K e y & g t ; M e a s u r e s \ A v e r a g e   o f   N e o   I n t   C a r e   o c c \ T a g I n f o \ V a l u e & l t ; / K e y & g t ; & l t ; / a : K e y & g t ; & l t ; a : V a l u e   i : t y p e = " M e a s u r e G r i d B a s e V i e w S t a t e \ I D i a g r a m T a g A d d i t i o n a l I n f o " / & g t ; & l t ; / a : K e y V a l u e O f D i a g r a m O b j e c t K e y a n y T y p e z b w N T n L X & g t ; & l t ; a : K e y V a l u e O f D i a g r a m O b j e c t K e y a n y T y p e z b w N T n L X & g t ; & l t ; a : K e y & g t ; & l t ; K e y & g t ; M e a s u r e s \ S u m 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S u m   o f   G A   b e d   o c c u p a n c y \ T a g I n f o \ F o r m u l a & l t ; / K e y & g t ; & l t ; / a : K e y & g t ; & l t ; a : V a l u e   i : t y p e = " M e a s u r e G r i d B a s e V i e w S t a t e \ I D i a g r a m T a g A d d i t i o n a l I n f o " / & g t ; & l t ; / a : K e y V a l u e O f D i a g r a m O b j e c t K e y a n y T y p e z b w N T n L X & g t ; & l t ; a : K e y V a l u e O f D i a g r a m O b j e c t K e y a n y T y p e z b w N T n L X & g t ; & l t ; a : K e y & g t ; & l t ; K e y & g t ; M e a s u r e s \ S u m   o f   G A   b e d   o c c u p a n c y \ T a g I n f o \ V a l u e & l t ; / K e y & g t ; & l t ; / a : K e y & g t ; & l t ; a : V a l u e   i : t y p e = " M e a s u r e G r i d B a s e V i e w S t a t e \ I D i a g r a m T a g A d d i t i o n a l I n f o " / & g t ; & l t ; / a : K e y V a l u e O f D i a g r a m O b j e c t K e y a n y T y p e z b w N T n L X & g t ; & l t ; a : K e y V a l u e O f D i a g r a m O b j e c t K e y a n y T y p e z b w N T n L X & g t ; & l t ; a : K e y & g t ; & l t ; K e y & g t ; M e a s u r e s \ A v e r a g e   o f   G A   b e d   o c c u p a n c y & l t ; / K e y & g t ; & l t ; / a : K e y & g t ; & l t ; a : V a l u e   i : t y p e = " M e a s u r e G r i d N o d e V i e w S t a t e " & g t ; & l t ; C o l u m n & g t ; 2 3 & l t ; / C o l u m n & g t ; & l t ; L a y e d O u t & g t ; t r u e & l t ; / L a y e d O u t & g t ; & l t ; R o w & g t ; 1 & l t ; / R o w & g t ; & l t ; W a s U I I n v i s i b l e & g t ; t r u e & l t ; / W a s U I I n v i s i b l e & g t ; & l t ; / a : V a l u e & g t ; & l t ; / a : K e y V a l u e O f D i a g r a m O b j e c t K e y a n y T y p e z b w N T n L X & g t ; & l t ; a : K e y V a l u e O f D i a g r a m O b j e c t K e y a n y T y p e z b w N T n L X & g t ; & l t ; a : K e y & g t ; & l t ; K e y & g t ; M e a s u r e s \ A v e r a g e   o f   G A   b e d   o c c u p a n c y \ T a g I n f o \ F o r m u l a & l t ; / K e y & g t ; & l t ; / a : K e y & g t ; & l t ; a : V a l u e   i : t y p e = " M e a s u r e G r i d B a s e V i e w S t a t e \ I D i a g r a m T a g A d d i t i o n a l I n f o " / & g t ; & l t ; / a : K e y V a l u e O f D i a g r a m O b j e c t K e y a n y T y p e z b w N T n L X & g t ; & l t ; a : K e y V a l u e O f D i a g r a m O b j e c t K e y a n y T y p e z b w N T n L X & g t ; & l t ; a : K e y & g t ; & l t ; K e y & g t ; M e a s u r e s \ A v e r a g e   o f   G A   b e d   o c c u p a n c y \ T a g I n f o \ V a l u e & l t ; / K e y & g t ; & l t ; / a : K e y & g t ; & l t ; a : V a l u e   i : t y p e = " M e a s u r e G r i d B a s e V i e w S t a t e \ I D i a g r a m T a g A d d i t i o n a l I n f o " / & g t ; & l t ; / a : K e y V a l u e O f D i a g r a m O b j e c t K e y a n y T y p e z b w N T n L X & g t ; & l t ; a : K e y V a l u e O f D i a g r a m O b j e c t K e y a n y T y p e z b w N T n L X & g t ; & l t ; a : K e y & g t ; & l t ; K e y & g t ; M e a s u r e s \ S u m   o f   G A   c o r e   b e d s   a v a i l & l t ; / K e y & g t ; & l t ; / a : K e y & g t ; & l t ; a : V a l u e   i : t y p e = " M e a s u r e G r i d N o d e V i e w S t a t e " & g t ; & l t ; C o l u m n & g t ; 1 9 & l t ; / C o l u m n & g t ; & l t ; L a y e d O u t & g t ; t r u e & l t ; / L a y e d O u t & g t ; & l t ; W a s U I I n v i s i b l e & g t ; t r u e & l t ; / W a s U I I n v i s i b l e & g t ; & l t ; / a : V a l u e & g t ; & l t ; / a : K e y V a l u e O f D i a g r a m O b j e c t K e y a n y T y p e z b w N T n L X & g t ; & l t ; a : K e y V a l u e O f D i a g r a m O b j e c t K e y a n y T y p e z b w N T n L X & g t ; & l t ; a : K e y & g t ; & l t ; K e y & g t ; M e a s u r e s \ S u m   o f   G A   c o r e   b e d s   a v a i l \ T a g I n f o \ F o r m u l a & l t ; / K e y & g t ; & l t ; / a : K e y & g t ; & l t ; a : V a l u e   i : t y p e = " M e a s u r e G r i d B a s e V i e w S t a t e \ I D i a g r a m T a g A d d i t i o n a l I n f o " / & g t ; & l t ; / a : K e y V a l u e O f D i a g r a m O b j e c t K e y a n y T y p e z b w N T n L X & g t ; & l t ; a : K e y V a l u e O f D i a g r a m O b j e c t K e y a n y T y p e z b w N T n L X & g t ; & l t ; a : K e y & g t ; & l t ; K e y & g t ; M e a s u r e s \ S u m   o f   G A   c o r e   b e d s   a v a i l \ T a g I n f o \ V a l u e & l t ; / K e y & g t ; & l t ; / a : K e y & g t ; & l t ; a : V a l u e   i : t y p e = " M e a s u r e G r i d B a s e V i e w S t a t e \ I D i a g r a m T a g A d d i t i o n a l I n f o " / & g t ; & l t ; / a : K e y V a l u e O f D i a g r a m O b j e c t K e y a n y T y p e z b w N T n L X & g t ; & l t ; a : K e y V a l u e O f D i a g r a m O b j e c t K e y a n y T y p e z b w N T n L X & g t ; & l t ; a : K e y & g t ; & l t ; K e y & g t ; M e a s u r e s \ S u m   o f   G A   e s c a l a t i o n   b e d s   a v a i l & l t ; / K e y & g t ; & l t ; / a : K e y & g t ; & l t ; a : V a l u e   i : t y p e = " M e a s u r e G r i d N o d e V i e w S t a t e " & g t ; & l t ; C o l u m n & g t ; 2 0 & l t ; / C o l u m n & g t ; & l t ; L a y e d O u t & g t ; t r u e & l t ; / L a y e d O u t & g t ; & l t ; W a s U I I n v i s i b l e & g t ; t r u e & l t ; / W a s U I I n v i s i b l e & g t ; & l t ; / a : V a l u e & g t ; & l t ; / a : K e y V a l u e O f D i a g r a m O b j e c t K e y a n y T y p e z b w N T n L X & g t ; & l t ; a : K e y V a l u e O f D i a g r a m O b j e c t K e y a n y T y p e z b w N T n L X & g t ; & l t ; a : K e y & g t ; & l t ; K e y & g t ; M e a s u r e s \ S u m   o f   G A   e s c a l a t i o n   b e d s   a v a i l \ T a g I n f o \ F o r m u l a & l t ; / K e y & g t ; & l t ; / a : K e y & g t ; & l t ; a : V a l u e   i : t y p e = " M e a s u r e G r i d B a s e V i e w S t a t e \ I D i a g r a m T a g A d d i t i o n a l I n f o " / & g t ; & l t ; / a : K e y V a l u e O f D i a g r a m O b j e c t K e y a n y T y p e z b w N T n L X & g t ; & l t ; a : K e y V a l u e O f D i a g r a m O b j e c t K e y a n y T y p e z b w N T n L X & g t ; & l t ; a : K e y & g t ; & l t ; K e y & g t ; M e a s u r e s \ S u m   o f   G A   e s c a l a t i o n   b e d s   a v a i l \ T a g I n f o \ V a l u e & l t ; / K e y & g t ; & l t ; / a : K e y & g t ; & l t ; a : V a l u e   i : t y p e = " M e a s u r e G r i d B a s e V i e w S t a t e \ I D i a g r a m T a g A d d i t i o n a l I n f o " / & g t ; & l t ; / a : K e y V a l u e O f D i a g r a m O b j e c t K e y a n y T y p e z b w N T n L X & g t ; & l t ; a : K e y V a l u e O f D i a g r a m O b j e c t K e y a n y T y p e z b w N T n L X & g t ; & l t ; a : K e y & g t ; & l t ; K e y & g t ; M e a s u r e s \ S u m   o f   B e d s   o c c   o v e r   1 4   d a y s   2 & l t ; / K e y & g t ; & l t ; / a : K e y & g t ; & l t ; a : V a l u e   i : t y p e = " M e a s u r e G r i d N o d e V i e w S t a t e " & g t ; & l t ; C o l u m n & g t ; 4 1 & l t ; / C o l u m n & g t ; & l t ; L a y e d O u t & g t ; t r u e & l t ; / L a y e d O u t & g t ; & l t ; W a s U I I n v i s i b l e & g t ; t r u e & l t ; / W a s U I I n v i s i b l e & g t ; & l t ; / a : V a l u e & g t ; & l t ; / a : K e y V a l u e O f D i a g r a m O b j e c t K e y a n y T y p e z b w N T n L X & g t ; & l t ; a : K e y V a l u e O f D i a g r a m O b j e c t K e y a n y T y p e z b w N T n L X & g t ; & l t ; a : K e y & g t ; & l t ; K e y & g t ; M e a s u r e s \ S u m   o f   B e d s   o c c   o v e r   1 4   d a y s   2 \ T a g I n f o \ F o r m u l a & l t ; / K e y & g t ; & l t ; / a : K e y & g t ; & l t ; a : V a l u e   i : t y p e = " M e a s u r e G r i d B a s e V i e w S t a t e \ I D i a g r a m T a g A d d i t i o n a l I n f o " / & g t ; & l t ; / a : K e y V a l u e O f D i a g r a m O b j e c t K e y a n y T y p e z b w N T n L X & g t ; & l t ; a : K e y V a l u e O f D i a g r a m O b j e c t K e y a n y T y p e z b w N T n L X & g t ; & l t ; a : K e y & g t ; & l t ; K e y & g t ; M e a s u r e s \ S u m   o f   B e d s   o c c   o v e r   1 4   d a y s   2 \ T a g I n f o \ V a l u e & l t ; / K e y & g t ; & l t ; / a : K e y & g t ; & l t ; a : V a l u e   i : t y p e = " M e a s u r e G r i d B a s e V i e w S t a t e \ I D i a g r a m T a g A d d i t i o n a l I n f o " / & g t ; & l t ; / a : K e y V a l u e O f D i a g r a m O b j e c t K e y a n y T y p e z b w N T n L X & g t ; & l t ; a : K e y V a l u e O f D i a g r a m O b j e c t K e y a n y T y p e z b w N T n L X & g t ; & l t ; a : K e y & g t ; & l t ; K e y & g t ; C o l u m n s \ I D & l t ; / K e y & g t ; & l t ; / a : K e y & g t ; & l t ; a : V a l u e   i : t y p e = " M e a s u r e G r i d N o d e V i e w S t a t e " & g t ; & l t ; L a y e d O u t & g t ; t r u e & l t ; / L a y e d O u t & g t ; & l t ; / a : V a l u e & g t ; & l t ; / a : K e y V a l u e O f D i a g r a m O b j e c t K e y a n y T y p e z b w N T n L X & g t ; & l t ; a : K e y V a l u e O f D i a g r a m O b j e c t K e y a n y T y p e z b w N T n L X & g t ; & l t ; a : K e y & g t ; & l t ; K e y & g t ; C o l u m n s \ c r i _ i d & l t ; / K e y & g t ; & l t ; / a : K e y & g t ; & l t ; a : V a l u e   i : t y p e = " M e a s u r e G r i d N o d e V i e w S t a t e " & g t ; & l t ; C o l u m n & g t ; 1 & l t ; / C o l u m n & g t ; & l t ; L a y e d O u t & g t ; t r u e & l t ; / L a y e d O u t & g t ; & l t ; / a : V a l u e & g t ; & l t ; / a : K e y V a l u e O f D i a g r a m O b j e c t K e y a n y T y p e z b w N T n L X & g t ; & l t ; a : K e y V a l u e O f D i a g r a m O b j e c t K e y a n y T y p e z b w N T n L X & g t ; & l t ; a : K e y & g t ; & l t ; K e y & g t ; C o l u m n s \ d r _ i d & l t ; / K e y & g t ; & l t ; / a : K e y & g t ; & l t ; a : V a l u e   i : t y p e = " M e a s u r e G r i d N o d e V i e w S t a t e " & g t ; & l t ; C o l u m n & g t ; 2 & l t ; / C o l u m n & g t ; & l t ; L a y e d O u t & g t ; t r u e & l t ; / L a y e d O u t & g t ; & l t ; / a : V a l u e & g t ; & l t ; / a : K e y V a l u e O f D i a g r a m O b j e c t K e y a n y T y p e z b w N T n L X & g t ; & l t ; a : K e y V a l u e O f D i a g r a m O b j e c t K e y a n y T y p e z b w N T n L X & g t ; & l t ; a : K e y & g t ; & l t ; K e y & g t ; C o l u m n s \ o r g _ i d & l t ; / K e y & g t ; & l t ; / a : K e y & g t ; & l t ; a : V a l u e   i : t y p e = " M e a s u r e G r i d N o d e V i e w S t a t e " & g t ; & l t ; C o l u m n & g t ; 3 & l t ; / C o l u m n & g t ; & l t ; L a y e d O u t & g t ; t r u e & l t ; / L a y e d O u t & g t ; & l t ; / a : V a l u e & g t ; & l t ; / a : K e y V a l u e O f D i a g r a m O b j e c t K e y a n y T y p e z b w N T n L X & g t ; & l t ; a : K e y V a l u e O f D i a g r a m O b j e c t K e y a n y T y p e z b w N T n L X & g t ; & l t ; a : K e y & g t ; & l t ; K e y & g t ; C o l u m n s \ c r i _ d a t a p e r i o d s t a r t & l t ; / K e y & g t ; & l t ; / a : K e y & g t ; & l t ; a : V a l u e   i : t y p e = " M e a s u r e G r i d N o d e V i e w S t a t e " & g t ; & l t ; C o l u m n & g t ; 4 & l t ; / C o l u m n & g t ; & l t ; L a y e d O u t & g t ; t r u e & l t ; / L a y e d O u t & g t ; & l t ; / a : V a l u e & g t ; & l t ; / a : K e y V a l u e O f D i a g r a m O b j e c t K e y a n y T y p e z b w N T n L X & g t ; & l t ; a : K e y V a l u e O f D i a g r a m O b j e c t K e y a n y T y p e z b w N T n L X & g t ; & l t ; a : K e y & g t ; & l t ; K e y & g t ; C o l u m n s \ C o d e & l t ; / K e y & g t ; & l t ; / a : K e y & g t ; & l t ; a : V a l u e   i : t y p e = " M e a s u r e G r i d N o d e V i e w S t a t e " & g t ; & l t ; C o l u m n & g t ; 5 & l t ; / C o l u m n & g t ; & l t ; L a y e d O u t & g t ; t r u e & l t ; / L a y e d O u t & g t ; & l t ; / a : V a l u e & g t ; & l t ; / a : K e y V a l u e O f D i a g r a m O b j e c t K e y a n y T y p e z b w N T n L X & g t ; & l t ; a : K e y V a l u e O f D i a g r a m O b j e c t K e y a n y T y p e z b w N T n L X & g t ; & l t ; a : K e y & g t ; & l t ; K e y & g t ; C o l u m n s \ N a m e & l t ; / K e y & g t ; & l t ; / a : K e y & g t ; & l t ; a : V a l u e   i : t y p e = " M e a s u r e G r i d N o d e V i e w S t a t e " & g t ; & l t ; C o l u m n & g t ; 6 & l t ; / C o l u m n & g t ; & l t ; L a y e d O u t & g t ; t r u e & l t ; / L a y e d O u t & g t ; & l t ; / a : V a l u e & g t ; & l t ; / a : K e y V a l u e O f D i a g r a m O b j e c t K e y a n y T y p e z b w N T n L X & g t ; & l t ; a : K e y V a l u e O f D i a g r a m O b j e c t K e y a n y T y p e z b w N T n L X & g t ; & l t ; a : K e y & g t ; & l t ; K e y & g t ; C o l u m n s \ D a t e & l t ; / K e y & g t ; & l t ; / a : K e y & g t ; & l t ; a : V a l u e   i : t y p e = " M e a s u r e G r i d N o d e V i e w S t a t e " & g t ; & l t ; C o l u m n & g t ; 7 & l t ; / C o l u m n & g t ; & l t ; L a y e d O u t & g t ; t r u e & l t ; / L a y e d O u t & g t ; & l t ; / a : V a l u e & g t ; & l t ; / a : K e y V a l u e O f D i a g r a m O b j e c t K e y a n y T y p e z b w N T n L X & g t ; & l t ; a : K e y V a l u e O f D i a g r a m O b j e c t K e y a n y T y p e z b w N T n L X & g t ; & l t ; a : K e y & g t ; & l t ; K e y & g t ; C o l u m n s \ W e e k & l t ; / K e y & g t ; & l t ; / a : K e y & g t ; & l t ; a : V a l u e   i : t y p e = " M e a s u r e G r i d N o d e V i e w S t a t e " & g t ; & l t ; C o l u m n & g t ; 8 & l t ; / C o l u m n & g t ; & l t ; L a y e d O u t & g t ; t r u e & l t ; / L a y e d O u t & g t ; & l t ; / a : V a l u e & g t ; & l t ; / a : K e y V a l u e O f D i a g r a m O b j e c t K e y a n y T y p e z b w N T n L X & g t ; & l t ; a : K e y V a l u e O f D i a g r a m O b j e c t K e y a n y T y p e z b w N T n L X & g t ; & l t ; a : K e y & g t ; & l t ; K e y & g t ; C o l u m n s \ D a y & l t ; / K e y & g t ; & l t ; / a : K e y & g t ; & l t ; a : V a l u e   i : t y p e = " M e a s u r e G r i d N o d e V i e w S t a t e " & g t ; & l t ; C o l u m n & g t ; 1 0 & l t ; / C o l u m n & g t ; & l t ; L a y e d O u t & g t ; t r u e & l t ; / L a y e d O u t & g t ; & l t ; / a : V a l u e & g t ; & l t ; / a : K e y V a l u e O f D i a g r a m O b j e c t K e y a n y T y p e z b w N T n L X & g t ; & l t ; a : K e y V a l u e O f D i a g r a m O b j e c t K e y a n y T y p e z b w N T n L X & g t ; & l t ; a : K e y & g t ; & l t ; K e y & g t ; C o l u m n s \ B a n k   h o l i d a y & l t ; / K e y & g t ; & l t ; / a : K e y & g t ; & l t ; a : V a l u e   i : t y p e = " M e a s u r e G r i d N o d e V i e w S t a t e " & g t ; & l t ; C o l u m n & g t ; 1 1 & l t ; / C o l u m n & g t ; & l t ; L a y e d O u t & g t ; t r u e & l t ; / L a y e d O u t & g t ; & l t ; / a : V a l u e & g t ; & l t ; / a : K e y V a l u e O f D i a g r a m O b j e c t K e y a n y T y p e z b w N T n L X & g t ; & l t ; a : K e y V a l u e O f D i a g r a m O b j e c t K e y a n y T y p e z b w N T n L X & g t ; & l t ; a : K e y & g t ; & l t ; K e y & g t ; C o l u m n s \ A E   c l o s u r e s & l t ; / K e y & g t ; & l t ; / a : K e y & g t ; & l t ; a : V a l u e   i : t y p e = " M e a s u r e G r i d N o d e V i e w S t a t e " & g t ; & l t ; C o l u m n & g t ; 1 2 & l t ; / C o l u m n & g t ; & l t ; L a y e d O u t & g t ; t r u e & l t ; / L a y e d O u t & g t ; & l t ; / a : V a l u e & g t ; & l t ; / a : K e y V a l u e O f D i a g r a m O b j e c t K e y a n y T y p e z b w N T n L X & g t ; & l t ; a : K e y V a l u e O f D i a g r a m O b j e c t K e y a n y T y p e z b w N T n L X & g t ; & l t ; a : K e y & g t ; & l t ; K e y & g t ; C o l u m n s \ A E   d i v e r t s & l t ; / K e y & g t ; & l t ; / a : K e y & g t ; & l t ; a : V a l u e   i : t y p e = " M e a s u r e G r i d N o d e V i e w S t a t e " & g t ; & l t ; C o l u m n & g t ; 1 3 & l t ; / C o l u m n & g t ; & l t ; L a y e d O u t & g t ; t r u e & l t ; / L a y e d O u t & g t ; & l t ; / a : V a l u e & g t ; & l t ; / a : K e y V a l u e O f D i a g r a m O b j e c t K e y a n y T y p e z b w N T n L X & g t ; & l t ; a : K e y V a l u e O f D i a g r a m O b j e c t K e y a n y T y p e z b w N T n L X & g t ; & l t ; a : K e y & g t ; & l t ; K e y & g t ; C o l u m n s \ A E   t y p e   1   a t t e n d a n c e s & l t ; / K e y & g t ; & l t ; / a : K e y & g t ; & l t ; a : V a l u e   i : t y p e = " M e a s u r e G r i d N o d e V i e w S t a t e " & g t ; & l t ; C o l u m n & g t ; 1 4 & l t ; / C o l u m n & g t ; & l t ; L a y e d O u t & g t ; t r u e & l t ; / L a y e d O u t & g t ; & l t ; / a : V a l u e & g t ; & l t ; / a : K e y V a l u e O f D i a g r a m O b j e c t K e y a n y T y p e z b w N T n L X & g t ; & l t ; a : K e y V a l u e O f D i a g r a m O b j e c t K e y a n y T y p e z b w N T n L X & g t ; & l t ; a : K e y & g t ; & l t ; K e y & g t ; C o l u m n s \ A E   t y p e   2   a t t e n d a n c e s & l t ; / K e y & g t ; & l t ; / a : K e y & g t ; & l t ; a : V a l u e   i : t y p e = " M e a s u r e G r i d N o d e V i e w S t a t e " & g t ; & l t ; C o l u m n & g t ; 1 5 & l t ; / C o l u m n & g t ; & l t ; L a y e d O u t & g t ; t r u e & l t ; / L a y e d O u t & g t ; & l t ; / a : V a l u e & g t ; & l t ; / a : K e y V a l u e O f D i a g r a m O b j e c t K e y a n y T y p e z b w N T n L X & g t ; & l t ; a : K e y V a l u e O f D i a g r a m O b j e c t K e y a n y T y p e z b w N T n L X & g t ; & l t ; a : K e y & g t ; & l t ; K e y & g t ; C o l u m n s \ A E   t y p e   3   a t t e n d a n c e s & l t ; / K e y & g t ; & l t ; / a : K e y & g t ; & l t ; a : V a l u e   i : t y p e = " M e a s u r e G r i d N o d e V i e w S t a t e " & g t ; & l t ; C o l u m n & g t ; 1 6 & l t ; / C o l u m n & g t ; & l t ; L a y e d O u t & g t ; t r u e & l t ; / L a y e d O u t & g t ; & l t ; / a : V a l u e & g t ; & l t ; / a : K e y V a l u e O f D i a g r a m O b j e c t K e y a n y T y p e z b w N T n L X & g t ; & l t ; a : K e y V a l u e O f D i a g r a m O b j e c t K e y a n y T y p e z b w N T n L X & g t ; & l t ; a : K e y & g t ; & l t ; K e y & g t ; C o l u m n s \ A E   t o t a l   a t t e n d a n c e s & l t ; / K e y & g t ; & l t ; / a : K e y & g t ; & l t ; a : V a l u e   i : t y p e = " M e a s u r e G r i d N o d e V i e w S t a t e " & g t ; & l t ; C o l u m n & g t ; 1 7 & l t ; / C o l u m n & g t ; & l t ; L a y e d O u t & g t ; t r u e & l t ; / L a y e d O u t & g t ; & l t ; / a : V a l u e & g t ; & l t ; / a : K e y V a l u e O f D i a g r a m O b j e c t K e y a n y T y p e z b w N T n L X & g t ; & l t ; a : K e y V a l u e O f D i a g r a m O b j e c t K e y a n y T y p e z b w N T n L X & g t ; & l t ; a : K e y & g t ; & l t ; K e y & g t ; C o l u m n s \ E m e r g e n c y   a d m i s s i o n s & l t ; / K e y & g t ; & l t ; / a : K e y & g t ; & l t ; a : V a l u e   i : t y p e = " M e a s u r e G r i d N o d e V i e w S t a t e " & g t ; & l t ; C o l u m n & g t ; 1 8 & l t ; / C o l u m n & g t ; & l t ; L a y e d O u t & g t ; t r u e & l t ; / L a y e d O u t & g t ; & l t ; / a : V a l u e & g t ; & l t ; / a : K e y V a l u e O f D i a g r a m O b j e c t K e y a n y T y p e z b w N T n L X & g t ; & l t ; a : K e y V a l u e O f D i a g r a m O b j e c t K e y a n y T y p e z b w N T n L X & g t ; & l t ; a : K e y & g t ; & l t ; K e y & g t ; C o l u m n s \ G A   c o r e   b e d s   a v a i l & l t ; / K e y & g t ; & l t ; / a : K e y & g t ; & l t ; a : V a l u e   i : t y p e = " M e a s u r e G r i d N o d e V i e w S t a t e " & g t ; & l t ; C o l u m n & g t ; 1 9 & l t ; / C o l u m n & g t ; & l t ; L a y e d O u t & g t ; t r u e & l t ; / L a y e d O u t & g t ; & l t ; / a : V a l u e & g t ; & l t ; / a : K e y V a l u e O f D i a g r a m O b j e c t K e y a n y T y p e z b w N T n L X & g t ; & l t ; a : K e y V a l u e O f D i a g r a m O b j e c t K e y a n y T y p e z b w N T n L X & g t ; & l t ; a : K e y & g t ; & l t ; K e y & g t ; C o l u m n s \ G A   e s c a l a t i o n   b e d s   a v a i l & l t ; / K e y & g t ; & l t ; / a : K e y & g t ; & l t ; a : V a l u e   i : t y p e = " M e a s u r e G r i d N o d e V i e w S t a t e " & g t ; & l t ; C o l u m n & g t ; 2 0 & l t ; / C o l u m n & g t ; & l t ; L a y e d O u t & g t ; t r u e & l t ; / L a y e d O u t & g t ; & l t ; / a : V a l u e & g t ; & l t ; / a : K e y V a l u e O f D i a g r a m O b j e c t K e y a n y T y p e z b w N T n L X & g t ; & l t ; a : K e y V a l u e O f D i a g r a m O b j e c t K e y a n y T y p e z b w N T n L X & g t ; & l t ; a : K e y & g t ; & l t ; K e y & g t ; C o l u m n s \ G A   t o t a l   b e d s   a v a i l & l t ; / K e y & g t ; & l t ; / a : K e y & g t ; & l t ; a : V a l u e   i : t y p e = " M e a s u r e G r i d N o d e V i e w S t a t e " & g t ; & l t ; C o l u m n & g t ; 2 1 & l t ; / C o l u m n & g t ; & l t ; L a y e d O u t & g t ; t r u e & l t ; / L a y e d O u t & g t ; & l t ; / a : V a l u e & g t ; & l t ; / a : K e y V a l u e O f D i a g r a m O b j e c t K e y a n y T y p e z b w N T n L X & g t ; & l t ; a : K e y V a l u e O f D i a g r a m O b j e c t K e y a n y T y p e z b w N T n L X & g t ; & l t ; a : K e y & g t ; & l t ; K e y & g t ; C o l u m n s \ G A   t o t a l   b e d s   o c c u p i e d & l t ; / K e y & g t ; & l t ; / a : K e y & g t ; & l t ; a : V a l u e   i : t y p e = " M e a s u r e G r i d N o d e V i e w S t a t e " & g t ; & l t ; C o l u m n & g t ; 2 2 & l t ; / C o l u m n & g t ; & l t ; L a y e d O u t & g t ; t r u e & l t ; / L a y e d O u t & g t ; & l t ; / a : V a l u e & g t ; & l t ; / a : K e y V a l u e O f D i a g r a m O b j e c t K e y a n y T y p e z b w N T n L X & g t ; & l t ; a : K e y V a l u e O f D i a g r a m O b j e c t K e y a n y T y p e z b w N T n L X & g t ; & l t ; a : K e y & g t ; & l t ; K e y & g t ; C o l u m n s \ B e d s   c l o s e d   n o r o v i r u s & l t ; / K e y & g t ; & l t ; / a : K e y & g t ; & l t ; a : V a l u e   i : t y p e = " M e a s u r e G r i d N o d e V i e w S t a t e " & g t ; & l t ; C o l u m n & g t ; 2 4 & l t ; / C o l u m n & g t ; & l t ; L a y e d O u t & g t ; t r u e & l t ; / L a y e d O u t & g t ; & l t ; / a : V a l u e & g t ; & l t ; / a : K e y V a l u e O f D i a g r a m O b j e c t K e y a n y T y p e z b w N T n L X & g t ; & l t ; a : K e y V a l u e O f D i a g r a m O b j e c t K e y a n y T y p e z b w N T n L X & g t ; & l t ; a : K e y & g t ; & l t ; K e y & g t ; C o l u m n s \ B e d s   c l o s e d   n o r o v i u s   u n o c c & l t ; / K e y & g t ; & l t ; / a : K e y & g t ; & l t ; a : V a l u e   i : t y p e = " M e a s u r e G r i d N o d e V i e w S t a t e " & g t ; & l t ; C o l u m n & g t ; 2 5 & l t ; / C o l u m n & g t ; & l t ; L a y e d O u t & g t ; t r u e & l t ; / L a y e d O u t & g t ; & l t ; / a : V a l u e & g t ; & l t ; / a : K e y V a l u e O f D i a g r a m O b j e c t K e y a n y T y p e z b w N T n L X & g t ; & l t ; a : K e y V a l u e O f D i a g r a m O b j e c t K e y a n y T y p e z b w N T n L X & g t ; & l t ; a : K e y & g t ; & l t ; K e y & g t ; C o l u m n s \ A d u l t   C C   b e d s   a v a i l & l t ; / K e y & g t ; & l t ; / a : K e y & g t ; & l t ; a : V a l u e   i : t y p e = " M e a s u r e G r i d N o d e V i e w S t a t e " & g t ; & l t ; C o l u m n & g t ; 2 6 & l t ; / C o l u m n & g t ; & l t ; L a y e d O u t & g t ; t r u e & l t ; / L a y e d O u t & g t ; & l t ; / a : V a l u e & g t ; & l t ; / a : K e y V a l u e O f D i a g r a m O b j e c t K e y a n y T y p e z b w N T n L X & g t ; & l t ; a : K e y V a l u e O f D i a g r a m O b j e c t K e y a n y T y p e z b w N T n L X & g t ; & l t ; a : K e y & g t ; & l t ; K e y & g t ; C o l u m n s \ A d u l t   C C   b e d s   o c c & l t ; / K e y & g t ; & l t ; / a : K e y & g t ; & l t ; a : V a l u e   i : t y p e = " M e a s u r e G r i d N o d e V i e w S t a t e " & g t ; & l t ; C o l u m n & g t ; 2 7 & l t ; / C o l u m n & g t ; & l t ; L a y e d O u t & g t ; t r u e & l t ; / L a y e d O u t & g t ; & l t ; / a : V a l u e & g t ; & l t ; / a : K e y V a l u e O f D i a g r a m O b j e c t K e y a n y T y p e z b w N T n L X & g t ; & l t ; a : K e y V a l u e O f D i a g r a m O b j e c t K e y a n y T y p e z b w N T n L X & g t ; & l t ; a : K e y & g t ; & l t ; K e y & g t ; C o l u m n s \ P a e d   I n t   C a r e   A v a i l & l t ; / K e y & g t ; & l t ; / a : K e y & g t ; & l t ; a : V a l u e   i : t y p e = " M e a s u r e G r i d N o d e V i e w S t a t e " & g t ; & l t ; C o l u m n & g t ; 2 8 & l t ; / C o l u m n & g t ; & l t ; L a y e d O u t & g t ; t r u e & l t ; / L a y e d O u t & g t ; & l t ; / a : V a l u e & g t ; & l t ; / a : K e y V a l u e O f D i a g r a m O b j e c t K e y a n y T y p e z b w N T n L X & g t ; & l t ; a : K e y V a l u e O f D i a g r a m O b j e c t K e y a n y T y p e z b w N T n L X & g t ; & l t ; a : K e y & g t ; & l t ; K e y & g t ; C o l u m n s \ P a e d   I n t   C a r e   O c c & l t ; / K e y & g t ; & l t ; / a : K e y & g t ; & l t ; a : V a l u e   i : t y p e = " M e a s u r e G r i d N o d e V i e w S t a t e " & g t ; & l t ; C o l u m n & g t ; 2 9 & l t ; / C o l u m n & g t ; & l t ; L a y e d O u t & g t ; t r u e & l t ; / L a y e d O u t & g t ; & l t ; / a : V a l u e & g t ; & l t ; / a : K e y V a l u e O f D i a g r a m O b j e c t K e y a n y T y p e z b w N T n L X & g t ; & l t ; a : K e y V a l u e O f D i a g r a m O b j e c t K e y a n y T y p e z b w N T n L X & g t ; & l t ; a : K e y & g t ; & l t ; K e y & g t ; C o l u m n s \ N e o   I n t   C a r e   A v a i l & l t ; / K e y & g t ; & l t ; / a : K e y & g t ; & l t ; a : V a l u e   i : t y p e = " M e a s u r e G r i d N o d e V i e w S t a t e " & g t ; & l t ; C o l u m n & g t ; 3 0 & l t ; / C o l u m n & g t ; & l t ; L a y e d O u t & g t ; t r u e & l t ; / L a y e d O u t & g t ; & l t ; / a : V a l u e & g t ; & l t ; / a : K e y V a l u e O f D i a g r a m O b j e c t K e y a n y T y p e z b w N T n L X & g t ; & l t ; a : K e y V a l u e O f D i a g r a m O b j e c t K e y a n y T y p e z b w N T n L X & g t ; & l t ; a : K e y & g t ; & l t ; K e y & g t ; C o l u m n s \ N e o   I n t   C a r e   o c c & l t ; / K e y & g t ; & l t ; / a : K e y & g t ; & l t ; a : V a l u e   i : t y p e = " M e a s u r e G r i d N o d e V i e w S t a t e " & g t ; & l t ; C o l u m n & g t ; 3 1 & l t ; / C o l u m n & g t ; & l t ; L a y e d O u t & g t ; t r u e & l t ; / L a y e d O u t & g t ; & l t ; / a : V a l u e & g t ; & l t ; / a : K e y V a l u e O f D i a g r a m O b j e c t K e y a n y T y p e z b w N T n L X & g t ; & l t ; a : K e y V a l u e O f D i a g r a m O b j e c t K e y a n y T y p e z b w N T n L X & g t ; & l t ; a : K e y & g t ; & l t ; K e y & g t ; C o l u m n s \ O P E L   3   o r   a b o v e & l t ; / K e y & g t ; & l t ; / a : K e y & g t ; & l t ; a : V a l u e   i : t y p e = " M e a s u r e G r i d N o d e V i e w S t a t e " & g t ; & l t ; C o l u m n & g t ; 3 2 & l t ; / C o l u m n & g t ; & l t ; L a y e d O u t & g t ; t r u e & l t ; / L a y e d O u t & g t ; & l t ; / a : V a l u e & g t ; & l t ; / a : K e y V a l u e O f D i a g r a m O b j e c t K e y a n y T y p e z b w N T n L X & g t ; & l t ; a : K e y V a l u e O f D i a g r a m O b j e c t K e y a n y T y p e z b w N T n L X & g t ; & l t ; a : K e y & g t ; & l t ; K e y & g t ; C o l u m n s \ W e e k e n d & l t ; / K e y & g t ; & l t ; / a : K e y & g t ; & l t ; a : V a l u e   i : t y p e = " M e a s u r e G r i d N o d e V i e w S t a t e " & g t ; & l t ; C o l u m n & g t ; 3 3 & l t ; / C o l u m n & g t ; & l t ; L a y e d O u t & g t ; t r u e & l t ; / L a y e d O u t & g t ; & l t ; / a : V a l u e & g t ; & l t ; / a : K e y V a l u e O f D i a g r a m O b j e c t K e y a n y T y p e z b w N T n L X & g t ; & l t ; a : K e y V a l u e O f D i a g r a m O b j e c t K e y a n y T y p e z b w N T n L X & g t ; & l t ; a : K e y & g t ; & l t ; K e y & g t ; C o l u m n s \ R e g i o n & l t ; / K e y & g t ; & l t ; / a : K e y & g t ; & l t ; a : V a l u e   i : t y p e = " M e a s u r e G r i d N o d e V i e w S t a t e " & g t ; & l t ; C o l u m n & g t ; 3 4 & l t ; / C o l u m n & g t ; & l t ; L a y e d O u t & g t ; t r u e & l t ; / L a y e d O u t & g t ; & l t ; / a : V a l u e & g t ; & l t ; / a : K e y V a l u e O f D i a g r a m O b j e c t K e y a n y T y p e z b w N T n L X & g t ; & l t ; a : K e y V a l u e O f D i a g r a m O b j e c t K e y a n y T y p e z b w N T n L X & g t ; & l t ; a : K e y & g t ; & l t ; K e y & g t ; C o l u m n s \ Y e a r & l t ; / K e y & g t ; & l t ; / a : K e y & g t ; & l t ; a : V a l u e   i : t y p e = " M e a s u r e G r i d N o d e V i e w S t a t e " & g t ; & l t ; C o l u m n & g t ; 3 5 & l t ; / C o l u m n & g t ; & l t ; L a y e d O u t & g t ; t r u e & l t ; / L a y e d O u t & g t ; & l t ; / a : V a l u e & g t ; & l t ; / a : K e y V a l u e O f D i a g r a m O b j e c t K e y a n y T y p e z b w N T n L X & g t ; & l t ; a : K e y V a l u e O f D i a g r a m O b j e c t K e y a n y T y p e z b w N T n L X & g t ; & l t ; a : K e y & g t ; & l t ; K e y & g t ; C o l u m n s \ B e d s   o c c   o v e r   7   d a y s & l t ; / K e y & g t ; & l t ; / a : K e y & g t ; & l t ; a : V a l u e   i : t y p e = " M e a s u r e G r i d N o d e V i e w S t a t e " & g t ; & l t ; C o l u m n & g t ; 3 6 & l t ; / C o l u m n & g t ; & l t ; L a y e d O u t & g t ; t r u e & l t ; / L a y e d O u t & g t ; & l t ; / a : V a l u e & g t ; & l t ; / a : K e y V a l u e O f D i a g r a m O b j e c t K e y a n y T y p e z b w N T n L X & g t ; & l t ; a : K e y V a l u e O f D i a g r a m O b j e c t K e y a n y T y p e z b w N T n L X & g t ; & l t ; a : K e y & g t ; & l t ; K e y & g t ; C o l u m n s \ B e d s   o c c   o v e r   2 1   d a y s & l t ; / K e y & g t ; & l t ; / a : K e y & g t ; & l t ; a : V a l u e   i : t y p e = " M e a s u r e G r i d N o d e V i e w S t a t e " & g t ; & l t ; C o l u m n & g t ; 3 7 & l t ; / C o l u m n & g t ; & l t ; L a y e d O u t & g t ; t r u e & l t ; / L a y e d O u t & g t ; & l t ; / a : V a l u e & g t ; & l t ; / a : K e y V a l u e O f D i a g r a m O b j e c t K e y a n y T y p e z b w N T n L X & g t ; & l t ; a : K e y V a l u e O f D i a g r a m O b j e c t K e y a n y T y p e z b w N T n L X & g t ; & l t ; a : K e y & g t ; & l t ; K e y & g t ; C o l u m n s \ A m b   a r r i v a l s & l t ; / K e y & g t ; & l t ; / a : K e y & g t ; & l t ; a : V a l u e   i : t y p e = " M e a s u r e G r i d N o d e V i e w S t a t e " & g t ; & l t ; C o l u m n & g t ; 3 8 & l t ; / C o l u m n & g t ; & l t ; L a y e d O u t & g t ; t r u e & l t ; / L a y e d O u t & g t ; & l t ; / a : V a l u e & g t ; & l t ; / a : K e y V a l u e O f D i a g r a m O b j e c t K e y a n y T y p e z b w N T n L X & g t ; & l t ; a : K e y V a l u e O f D i a g r a m O b j e c t K e y a n y T y p e z b w N T n L X & g t ; & l t ; a : K e y & g t ; & l t ; K e y & g t ; C o l u m n s \ A m b   d e l a y s   3 0 - 6 0   m i n s & l t ; / K e y & g t ; & l t ; / a : K e y & g t ; & l t ; a : V a l u e   i : t y p e = " M e a s u r e G r i d N o d e V i e w S t a t e " & g t ; & l t ; C o l u m n & g t ; 3 9 & l t ; / C o l u m n & g t ; & l t ; L a y e d O u t & g t ; t r u e & l t ; / L a y e d O u t & g t ; & l t ; / a : V a l u e & g t ; & l t ; / a : K e y V a l u e O f D i a g r a m O b j e c t K e y a n y T y p e z b w N T n L X & g t ; & l t ; a : K e y V a l u e O f D i a g r a m O b j e c t K e y a n y T y p e z b w N T n L X & g t ; & l t ; a : K e y & g t ; & l t ; K e y & g t ; C o l u m n s \ A m b   d e l a y s   o v e r   6 0   m i n s & l t ; / K e y & g t ; & l t ; / a : K e y & g t ; & l t ; a : V a l u e   i : t y p e = " M e a s u r e G r i d N o d e V i e w S t a t e " & g t ; & l t ; C o l u m n & g t ; 4 0 & l t ; / C o l u m n & g t ; & l t ; L a y e d O u t & g t ; t r u e & l t ; / L a y e d O u t & g t ; & l t ; / a : V a l u e & g t ; & l t ; / a : K e y V a l u e O f D i a g r a m O b j e c t K e y a n y T y p e z b w N T n L X & g t ; & l t ; a : K e y V a l u e O f D i a g r a m O b j e c t K e y a n y T y p e z b w N T n L X & g t ; & l t ; a : K e y & g t ; & l t ; K e y & g t ; C o l u m n s \ W e e k   l o n g & l t ; / K e y & g t ; & l t ; / a : K e y & g t ; & l t ; a : V a l u e   i : t y p e = " M e a s u r e G r i d N o d e V i e w S t a t e " & g t ; & l t ; C o l u m n & g t ; 9 & l t ; / C o l u m n & g t ; & l t ; L a y e d O u t & g t ; t r u e & l t ; / L a y e d O u t & g t ; & l t ; / a : V a l u e & g t ; & l t ; / a : K e y V a l u e O f D i a g r a m O b j e c t K e y a n y T y p e z b w N T n L X & g t ; & l t ; a : K e y V a l u e O f D i a g r a m O b j e c t K e y a n y T y p e z b w N T n L X & g t ; & l t ; a : K e y & g t ; & l t ; K e y & g t ; C o l u m n s \ G A   b e d   o c c u p a n c y & l t ; / K e y & g t ; & l t ; / a : K e y & g t ; & l t ; a : V a l u e   i : t y p e = " M e a s u r e G r i d N o d e V i e w S t a t e " & g t ; & l t ; C o l u m n & g t ; 2 3 & l t ; / C o l u m n & g t ; & l t ; L a y e d O u t & g t ; t r u e & l t ; / L a y e d O u t & g t ; & l t ; / a : V a l u e & g t ; & l t ; / a : K e y V a l u e O f D i a g r a m O b j e c t K e y a n y T y p e z b w N T n L X & g t ; & l t ; a : K e y V a l u e O f D i a g r a m O b j e c t K e y a n y T y p e z b w N T n L X & g t ; & l t ; a : K e y & g t ; & l t ; K e y & g t ; C o l u m n s \ B e d s   o c c   o v e r   1 4   d a y s & l t ; / K e y & g t ; & l t ; / a : K e y & g t ; & l t ; a : V a l u e   i : t y p e = " M e a s u r e G r i d N o d e V i e w S t a t e " & g t ; & l t ; C o l u m n & g t ; 4 1 & l t ; / C o l u m n & g t ; & l t ; L a y e d O u t & g t ; t r u e & l t ; / L a y e d O u t & g t ; & l t ; / a : V a l u e & g t ; & l t ; / a : K e y V a l u e O f D i a g r a m O b j e c t K e y a n y T y p e z b w N T n L X & g t ; & l t ; a : K e y V a l u e O f D i a g r a m O b j e c t K e y a n y T y p e z b w N T n L X & g t ; & l t ; a : K e y & g t ; & l t ; K e y & g t ; L i n k s \ & a m p ; l t ; C o l u m n s \ S u m   o f   A E   d i v e r t s & a m p ; g t ; - & a m p ; l t ; M e a s u r e s \ A E   d i v e r t s & a m p ; g t ; & l t ; / K e y & g t ; & l t ; / a : K e y & g t ; & l t ; a : V a l u e   i : t y p e = " M e a s u r e G r i d B a s e V i e w S t a t e \ I D i a g r a m L i n k " / & g t ; & l t ; / a : K e y V a l u e O f D i a g r a m O b j e c t K e y a n y T y p e z b w N T n L X & g t ; & l t ; a : K e y V a l u e O f D i a g r a m O b j e c t K e y a n y T y p e z b w N T n L X & g t ; & l t ; a : K e y & g t ; & l t ; K e y & g t ; L i n k s \ & a m p ; l t ; C o l u m n s \ S u m   o f   A E   d i v e r t s & a m p ; g t ; - & a m p ; l t ; M e a s u r e s \ A E   d i v e r t s & a m p ; g t ; \ C O L U M N & l t ; / K e y & g t ; & l t ; / a : K e y & g t ; & l t ; a : V a l u e   i : t y p e = " M e a s u r e G r i d B a s e V i e w S t a t e \ I D i a g r a m L i n k E n d p o i n t " / & g t ; & l t ; / a : K e y V a l u e O f D i a g r a m O b j e c t K e y a n y T y p e z b w N T n L X & g t ; & l t ; a : K e y V a l u e O f D i a g r a m O b j e c t K e y a n y T y p e z b w N T n L X & g t ; & l t ; a : K e y & g t ; & l t ; K e y & g t ; L i n k s \ & a m p ; l t ; C o l u m n s \ S u m   o f   A E   d i v e r t s & a m p ; g t ; - & a m p ; l t ; M e a s u r e s \ A E   d i v e r t s & a m p ; g t ; \ M E A S U R E & l t ; / K e y & g t ; & l t ; / a : K e y & g t ; & l t ; a : V a l u e   i : t y p e = " M e a s u r e G r i d B a s e V i e w S t a t e \ I D i a g r a m L i n k E n d p o i n t " / & g t ; & l t ; / a : K e y V a l u e O f D i a g r a m O b j e c t K e y a n y T y p e z b w N T n L X & g t ; & l t ; a : K e y V a l u e O f D i a g r a m O b j e c t K e y a n y T y p e z b w N T n L X & g t ; & l t ; a : K e y & g t ; & l t ; K e y & g t ; L i n k s \ & a m p ; l t ; C o l u m n s \ S u m   o f   G A   t o t a l   b e d s   o c c u p i e d & a m p ; g t ; - & a m p ; l t ; M e a s u r e s \ G A   t o t a l   b e d s   o c c u p i e d & a m p ; g t ; & l t ; / K e y & g t ; & l t ; / a : K e y & g t ; & l t ; a : V a l u e   i : t y p e = " M e a s u r e G r i d B a s e V i e w S t a t e \ I D i a g r a m L i n k " / & g t ; & l t ; / a : K e y V a l u e O f D i a g r a m O b j e c t K e y a n y T y p e z b w N T n L X & g t ; & l t ; a : K e y V a l u e O f D i a g r a m O b j e c t K e y a n y T y p e z b w N T n L X & g t ; & l t ; a : K e y & g t ; & l t ; K e y & g t ; L i n k s \ & a m p ; l t ; C o l u m n s \ S u m   o f   G A   t o t a l   b e d s   o c c u p i e d & a m p ; g t ; - & a m p ; l t ; M e a s u r e s \ G A   t o t a l   b e d s   o c c u p i e d & a m p ; g t ; \ C O L U M N & l t ; / K e y & g t ; & l t ; / a : K e y & g t ; & l t ; a : V a l u e   i : t y p e = " M e a s u r e G r i d B a s e V i e w S t a t e \ I D i a g r a m L i n k E n d p o i n t " / & g t ; & l t ; / a : K e y V a l u e O f D i a g r a m O b j e c t K e y a n y T y p e z b w N T n L X & g t ; & l t ; a : K e y V a l u e O f D i a g r a m O b j e c t K e y a n y T y p e z b w N T n L X & g t ; & l t ; a : K e y & g t ; & l t ; K e y & g t ; L i n k s \ & a m p ; l t ; C o l u m n s \ S u m   o f   G A   t o t a l   b e d s   o c c u p i e d & a m p ; g t ; - & a m p ; l t ; M e a s u r e s \ G A   t o t a l   b e d s   o c c u p i e d & a m p ; g t ; \ M E A S U R E & l t ; / K e y & g t ; & l t ; / a : K e y & g t ; & l t ; a : V a l u e   i : t y p e = " M e a s u r e G r i d B a s e V i e w S t a t e \ I D i a g r a m L i n k E n d p o i n t " / & g t ; & l t ; / a : K e y V a l u e O f D i a g r a m O b j e c t K e y a n y T y p e z b w N T n L X & g t ; & l t ; a : K e y V a l u e O f D i a g r a m O b j e c t K e y a n y T y p e z b w N T n L X & g t ; & l t ; a : K e y & g t ; & l t ; K e y & g t ; L i n k s \ & a m p ; l t ; C o l u m n s \ A v e r a g e   o f   G A   t o t a l   b e d s   o c c u p i e d & a m p ; g t ; - & a m p ; l t ; M e a s u r e s \ G A   t o t a l   b e d s   o c c u p i e d & a m p ; g t ; & l t ; / K e y & g t ; & l t ; / a : K e y & g t ; & l t ; a : V a l u e   i : t y p e = " M e a s u r e G r i d B a s e V i e w S t a t e \ I D i a g r a m L i n k " / & g t ; & l t ; / a : K e y V a l u e O f D i a g r a m O b j e c t K e y a n y T y p e z b w N T n L X & g t ; & l t ; a : K e y V a l u e O f D i a g r a m O b j e c t K e y a n y T y p e z b w N T n L X & g t ; & l t ; a : K e y & g t ; & l t ; K e y & g t ; L i n k s \ & a m p ; l t ; C o l u m n s \ A v e r a g e   o f   G A   t o t a l   b e d s   o c c u p i e d & a m p ; g t ; - & a m p ; l t ; M e a s u r e s \ G A   t o t a l   b e d s   o c c u p i e d & a m p ; g t ; \ C O L U M N & l t ; / K e y & g t ; & l t ; / a : K e y & g t ; & l t ; a : V a l u e   i : t y p e = " M e a s u r e G r i d B a s e V i e w S t a t e \ I D i a g r a m L i n k E n d p o i n t " / & g t ; & l t ; / a : K e y V a l u e O f D i a g r a m O b j e c t K e y a n y T y p e z b w N T n L X & g t ; & l t ; a : K e y V a l u e O f D i a g r a m O b j e c t K e y a n y T y p e z b w N T n L X & g t ; & l t ; a : K e y & g t ; & l t ; K e y & g t ; L i n k s \ & a m p ; l t ; C o l u m n s \ A v e r a g e   o f   G A   t o t a l   b e d s   o c c u p i e d & a m p ; g t ; - & a m p ; l t ; M e a s u r e s \ G A   t o t a l   b e d s   o c c u p i e d & a m p ; g t ; \ M E A S U R E & l t ; / K e y & g t ; & l t ; / a : K e y & g t ; & l t ; a : V a l u e   i : t y p e = " M e a s u r e G r i d B a s e V i e w S t a t e \ I D i a g r a m L i n k E n d p o i n t " / & g t ; & l t ; / a : K e y V a l u e O f D i a g r a m O b j e c t K e y a n y T y p e z b w N T n L X & g t ; & l t ; a : K e y V a l u e O f D i a g r a m O b j e c t K e y a n y T y p e z b w N T n L X & g t ; & l t ; a : K e y & g t ; & l t ; K e y & g t ; L i n k s \ & a m p ; l t ; C o l u m n s \ S u m   o f   G A   t o t a l   b e d s   a v a i l & a m p ; g t ; - & a m p ; l t ; M e a s u r e s \ G A   t o t a l   b e d s   a v a i l & a m p ; g t ; & l t ; / K e y & g t ; & l t ; / a : K e y & g t ; & l t ; a : V a l u e   i : t y p e = " M e a s u r e G r i d B a s e V i e w S t a t e \ I D i a g r a m L i n k " / & g t ; & l t ; / a : K e y V a l u e O f D i a g r a m O b j e c t K e y a n y T y p e z b w N T n L X & g t ; & l t ; a : K e y V a l u e O f D i a g r a m O b j e c t K e y a n y T y p e z b w N T n L X & g t ; & l t ; a : K e y & g t ; & l t ; K e y & g t ; L i n k s \ & a m p ; l t ; C o l u m n s \ S u m   o f   G A   t o t a l   b e d s   a v a i l & a m p ; g t ; - & a m p ; l t ; M e a s u r e s \ G A   t o t a l   b e d s   a v a i l & a m p ; g t ; \ C O L U M N & l t ; / K e y & g t ; & l t ; / a : K e y & g t ; & l t ; a : V a l u e   i : t y p e = " M e a s u r e G r i d B a s e V i e w S t a t e \ I D i a g r a m L i n k E n d p o i n t " / & g t ; & l t ; / a : K e y V a l u e O f D i a g r a m O b j e c t K e y a n y T y p e z b w N T n L X & g t ; & l t ; a : K e y V a l u e O f D i a g r a m O b j e c t K e y a n y T y p e z b w N T n L X & g t ; & l t ; a : K e y & g t ; & l t ; K e y & g t ; L i n k s \ & a m p ; l t ; C o l u m n s \ S u m   o f   G A   t o t a l   b e d s   a v a i l & a m p ; g t ; - & a m p ; l t ; M e a s u r e s \ G A   t o t a l   b e d s   a v a i l & a m p ; g t ; \ M E A S U R E & l t ; / K e y & g t ; & l t ; / a : K e y & g t ; & l t ; a : V a l u e   i : t y p e = " M e a s u r e G r i d B a s e V i e w S t a t e \ I D i a g r a m L i n k E n d p o i n t " / & g t ; & l t ; / a : K e y V a l u e O f D i a g r a m O b j e c t K e y a n y T y p e z b w N T n L X & g t ; & l t ; a : K e y V a l u e O f D i a g r a m O b j e c t K e y a n y T y p e z b w N T n L X & g t ; & l t ; a : K e y & g t ; & l t ; K e y & g t ; L i n k s \ & a m p ; l t ; C o l u m n s \ S u m   o f   B e d s   o c c   o v e r   7   d a y s & a m p ; g t ; - & a m p ; l t ; M e a s u r e s \ B e d s   o c c   o v e r   7   d a y s & a m p ; g t ; & l t ; / K e y & g t ; & l t ; / a : K e y & g t ; & l t ; a : V a l u e   i : t y p e = " M e a s u r e G r i d B a s e V i e w S t a t e \ I D i a g r a m L i n k " / & g t ; & l t ; / a : K e y V a l u e O f D i a g r a m O b j e c t K e y a n y T y p e z b w N T n L X & g t ; & l t ; a : K e y V a l u e O f D i a g r a m O b j e c t K e y a n y T y p e z b w N T n L X & g t ; & l t ; a : K e y & g t ; & l t ; K e y & g t ; L i n k s \ & a m p ; l t ; C o l u m n s \ S u m   o f   B e d s   o c c   o v e r   7   d a y s & a m p ; g t ; - & a m p ; l t ; M e a s u r e s \ B e d s   o c c   o v e r   7   d a y s & a m p ; g t ; \ C O L U M N & l t ; / K e y & g t ; & l t ; / a : K e y & g t ; & l t ; a : V a l u e   i : t y p e = " M e a s u r e G r i d B a s e V i e w S t a t e \ I D i a g r a m L i n k E n d p o i n t " / & g t ; & l t ; / a : K e y V a l u e O f D i a g r a m O b j e c t K e y a n y T y p e z b w N T n L X & g t ; & l t ; a : K e y V a l u e O f D i a g r a m O b j e c t K e y a n y T y p e z b w N T n L X & g t ; & l t ; a : K e y & g t ; & l t ; K e y & g t ; L i n k s \ & a m p ; l t ; C o l u m n s \ S u m   o f   B e d s   o c c   o v e r   7   d a y s & a m p ; g t ; - & a m p ; l t ; M e a s u r e s \ B e d s   o c c   o v e r   7   d a y s & a m p ; g t ; \ M E A S U R E & l t ; / K e y & g t ; & l t ; / a : K e y & g t ; & l t ; a : V a l u e   i : t y p e = " M e a s u r e G r i d B a s e V i e w S t a t e \ I D i a g r a m L i n k E n d p o i n t " / & g t ; & l t ; / a : K e y V a l u e O f D i a g r a m O b j e c t K e y a n y T y p e z b w N T n L X & g t ; & l t ; a : K e y V a l u e O f D i a g r a m O b j e c t K e y a n y T y p e z b w N T n L X & g t ; & l t ; a : K e y & g t ; & l t ; K e y & g t ; L i n k s \ & a m p ; l t ; C o l u m n s \ S u m   o f   B e d s   o c c   o v e r   2 1   d a y s & a m p ; g t ; - & a m p ; l t ; M e a s u r e s \ B e d s   o c c   o v e r   2 1   d a y s & a m p ; g t ; & l t ; / K e y & g t ; & l t ; / a : K e y & g t ; & l t ; a : V a l u e   i : t y p e = " M e a s u r e G r i d B a s e V i e w S t a t e \ I D i a g r a m L i n k " / & g t ; & l t ; / a : K e y V a l u e O f D i a g r a m O b j e c t K e y a n y T y p e z b w N T n L X & g t ; & l t ; a : K e y V a l u e O f D i a g r a m O b j e c t K e y a n y T y p e z b w N T n L X & g t ; & l t ; a : K e y & g t ; & l t ; K e y & g t ; L i n k s \ & a m p ; l t ; C o l u m n s \ S u m   o f   B e d s   o c c   o v e r   2 1   d a y s & a m p ; g t ; - & a m p ; l t ; M e a s u r e s \ B e d s   o c c   o v e r   2 1   d a y s & a m p ; g t ; \ C O L U M N & l t ; / K e y & g t ; & l t ; / a : K e y & g t ; & l t ; a : V a l u e   i : t y p e = " M e a s u r e G r i d B a s e V i e w S t a t e \ I D i a g r a m L i n k E n d p o i n t " / & g t ; & l t ; / a : K e y V a l u e O f D i a g r a m O b j e c t K e y a n y T y p e z b w N T n L X & g t ; & l t ; a : K e y V a l u e O f D i a g r a m O b j e c t K e y a n y T y p e z b w N T n L X & g t ; & l t ; a : K e y & g t ; & l t ; K e y & g t ; L i n k s \ & a m p ; l t ; C o l u m n s \ S u m   o f   B e d s   o c c   o v e r   2 1   d a y s & a m p ; g t ; - & a m p ; l t ; M e a s u r e s \ B e d s   o c c   o v e r   2 1   d a y s & a m p ; g t ; \ M E A S U R E & l t ; / K e y & g t ; & l t ; / a : K e y & g t ; & l t ; a : V a l u e   i : t y p e = " M e a s u r e G r i d B a s e V i e w S t a t e \ I D i a g r a m L i n k E n d p o i n t " / & g t ; & l t ; / a : K e y V a l u e O f D i a g r a m O b j e c t K e y a n y T y p e z b w N T n L X & g t ; & l t ; a : K e y V a l u e O f D i a g r a m O b j e c t K e y a n y T y p e z b w N T n L X & g t ; & l t ; a : K e y & g t ; & l t ; K e y & g t ; L i n k s \ & a m p ; l t ; C o l u m n s \ A v e r a g e   o f   B e d s   o c c   o v e r   2 1   d a y s & a m p ; g t ; - & a m p ; l t ; M e a s u r e s \ B e d s   o c c   o v e r   2 1   d a y s & a m p ; g t ; & l t ; / K e y & g t ; & l t ; / a : K e y & g t ; & l t ; a : V a l u e   i : t y p e = " M e a s u r e G r i d B a s e V i e w S t a t e \ I D i a g r a m L i n k " / & g t ; & l t ; / a : K e y V a l u e O f D i a g r a m O b j e c t K e y a n y T y p e z b w N T n L X & g t ; & l t ; a : K e y V a l u e O f D i a g r a m O b j e c t K e y a n y T y p e z b w N T n L X & g t ; & l t ; a : K e y & g t ; & l t ; K e y & g t ; L i n k s \ & a m p ; l t ; C o l u m n s \ A v e r a g e   o f   B e d s   o c c   o v e r   2 1   d a y s & a m p ; g t ; - & a m p ; l t ; M e a s u r e s \ B e d s   o c c   o v e r   2 1   d a y s & a m p ; g t ; \ C O L U M N & l t ; / K e y & g t ; & l t ; / a : K e y & g t ; & l t ; a : V a l u e   i : t y p e = " M e a s u r e G r i d B a s e V i e w S t a t e \ I D i a g r a m L i n k E n d p o i n t " / & g t ; & l t ; / a : K e y V a l u e O f D i a g r a m O b j e c t K e y a n y T y p e z b w N T n L X & g t ; & l t ; a : K e y V a l u e O f D i a g r a m O b j e c t K e y a n y T y p e z b w N T n L X & g t ; & l t ; a : K e y & g t ; & l t ; K e y & g t ; L i n k s \ & a m p ; l t ; C o l u m n s \ A v e r a g e   o f   B e d s   o c c   o v e r   2 1   d a y s & a m p ; g t ; - & a m p ; l t ; M e a s u r e s \ B e d s   o c c   o v e r   2 1   d a y s & a m p ; g t ; \ M E A S U R E & l t ; / K e y & g t ; & l t ; / a : K e y & g t ; & l t ; a : V a l u e   i : t y p e = " M e a s u r e G r i d B a s e V i e w S t a t e \ I D i a g r a m L i n k E n d p o i n t " / & g t ; & l t ; / a : K e y V a l u e O f D i a g r a m O b j e c t K e y a n y T y p e z b w N T n L X & g t ; & l t ; a : K e y V a l u e O f D i a g r a m O b j e c t K e y a n y T y p e z b w N T n L X & g t ; & l t ; a : K e y & g t ; & l t ; K e y & g t ; L i n k s \ & a m p ; l t ; C o l u m n s \ S u m   o f   B e d s   c l o s e d   n o r o v i r u s & a m p ; g t ; - & a m p ; l t ; M e a s u r e s \ B e d s   c l o s e d   n o r o v i r u s & a m p ; g t ; & l t ; / K e y & g t ; & l t ; / a : K e y & g t ; & l t ; a : V a l u e   i : t y p e = " M e a s u r e G r i d B a s e V i e w S t a t e \ I D i a g r a m L i n k " / & g t ; & l t ; / a : K e y V a l u e O f D i a g r a m O b j e c t K e y a n y T y p e z b w N T n L X & g t ; & l t ; a : K e y V a l u e O f D i a g r a m O b j e c t K e y a n y T y p e z b w N T n L X & g t ; & l t ; a : K e y & g t ; & l t ; K e y & g t ; L i n k s \ & a m p ; l t ; C o l u m n s \ S u m   o f   B e d s   c l o s e d   n o r o v i r u s & a m p ; g t ; - & a m p ; l t ; M e a s u r e s \ B e d s   c l o s e d   n o r o v i r u s & a m p ; g t ; \ C O L U M N & l t ; / K e y & g t ; & l t ; / a : K e y & g t ; & l t ; a : V a l u e   i : t y p e = " M e a s u r e G r i d B a s e V i e w S t a t e \ I D i a g r a m L i n k E n d p o i n t " / & g t ; & l t ; / a : K e y V a l u e O f D i a g r a m O b j e c t K e y a n y T y p e z b w N T n L X & g t ; & l t ; a : K e y V a l u e O f D i a g r a m O b j e c t K e y a n y T y p e z b w N T n L X & g t ; & l t ; a : K e y & g t ; & l t ; K e y & g t ; L i n k s \ & a m p ; l t ; C o l u m n s \ S u m   o f   B e d s   c l o s e d   n o r o v i r u s & a m p ; g t ; - & a m p ; l t ; M e a s u r e s \ B e d s   c l o s e d   n o r o v i r u s & a m p ; g t ; \ M E A S U R E & l t ; / K e y & g t ; & l t ; / a : K e y & g t ; & l t ; a : V a l u e   i : t y p e = " M e a s u r e G r i d B a s e V i e w S t a t e \ I D i a g r a m L i n k E n d p o i n t " / & g t ; & l t ; / a : K e y V a l u e O f D i a g r a m O b j e c t K e y a n y T y p e z b w N T n L X & g t ; & l t ; a : K e y V a l u e O f D i a g r a m O b j e c t K e y a n y T y p e z b w N T n L X & g t ; & l t ; a : K e y & g t ; & l t ; K e y & g t ; L i n k s \ & a m p ; l t ; C o l u m n s \ A v e r a g e   o f   B e d s   c l o s e d   n o r o v i r u s & a m p ; g t ; - & a m p ; l t ; M e a s u r e s \ B e d s   c l o s e d   n o r o v i r u s & a m p ; g t ; & l t ; / K e y & g t ; & l t ; / a : K e y & g t ; & l t ; a : V a l u e   i : t y p e = " M e a s u r e G r i d B a s e V i e w S t a t e \ I D i a g r a m L i n k " / & g t ; & l t ; / a : K e y V a l u e O f D i a g r a m O b j e c t K e y a n y T y p e z b w N T n L X & g t ; & l t ; a : K e y V a l u e O f D i a g r a m O b j e c t K e y a n y T y p e z b w N T n L X & g t ; & l t ; a : K e y & g t ; & l t ; K e y & g t ; L i n k s \ & a m p ; l t ; C o l u m n s \ A v e r a g e   o f   B e d s   c l o s e d   n o r o v i r u s & a m p ; g t ; - & a m p ; l t ; M e a s u r e s \ B e d s   c l o s e d   n o r o v i r u s & a m p ; g t ; \ C O L U M N & l t ; / K e y & g t ; & l t ; / a : K e y & g t ; & l t ; a : V a l u e   i : t y p e = " M e a s u r e G r i d B a s e V i e w S t a t e \ I D i a g r a m L i n k E n d p o i n t " / & g t ; & l t ; / a : K e y V a l u e O f D i a g r a m O b j e c t K e y a n y T y p e z b w N T n L X & g t ; & l t ; a : K e y V a l u e O f D i a g r a m O b j e c t K e y a n y T y p e z b w N T n L X & g t ; & l t ; a : K e y & g t ; & l t ; K e y & g t ; L i n k s \ & a m p ; l t ; C o l u m n s \ A v e r a g e   o f   B e d s   c l o s e d   n o r o v i r u s & a m p ; g t ; - & a m p ; l t ; M e a s u r e s \ B e d s   c l o s e d   n o r o v i r u s & a m p ; g t ; \ M E A S U R E & l t ; / K e y & g t ; & l t ; / a : K e y & g t ; & l t ; a : V a l u e 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 u n o c c & a m p ; g t ; & l t ; / K e y & g t ; & l t ; / a : K e y & g t ; & l t ; a : V a l u e   i : t y p e = " M e a s u r e G r i d B a s e V i e w S t a t e \ I D i a g r a m L i n k " / & g t ; & l t ; / a : K e y V a l u e O f D i a g r a m O b j e c t K e y a n y T y p e z b w N T n L X & g t ; & l t ; a : K e y V a l u e O f D i a g r a m O b j e c t K e y a n y T y p e z b w N T n L X & g t ; & l t ; a : K e y & g t ; & l t ; K e y & g t ; L i n k s \ & a m p ; l t ; C o l u m n s \ S u m   o f   B e d s   c l o s e d   n o r o v i u s   u n o c c & a m p ; g t ; - & a m p ; l t ; M e a s u r e s \ B e d s   c l o s e d   n o r o v i u s   u n o c c & a m p ; g t ; \ C O L U M N & l t ; / K e y & g t ; & l t ; / a : K e y & g t ; & l t ; a : V a l u e 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 u n o c c & a m p ; g t ; \ M E A S U R E & l t ; / K e y & g t ; & l t ; / a : K e y & g t ; & l t ; a : V a l u e   i : t y p e = " M e a s u r e G r i d B a s e V i e w S t a t e \ I D i a g r a m L i n k E n d p o i n t " / & g t ; & l t ; / a : K e y V a l u e O f D i a g r a m O b j e c t K e y a n y T y p e z b w N T n L X & g t ; & l t ; a : K e y V a l u e O f D i a g r a m O b j e c t K e y a n y T y p e z b w N T n L X & g t ; & l t ; a : K e y & g t ; & l t ; K e y & g t ; L i n k s \ & a m p ; l t ; C o l u m n s \ S u m   o f   A m b   a r r i v a l s & a m p ; g t ; - & a m p ; l t ; M e a s u r e s \ A m b   a r r i v a l s & a m p ; g t ; & l t ; / K e y & g t ; & l t ; / a : K e y & g t ; & l t ; a : V a l u e   i : t y p e = " M e a s u r e G r i d B a s e V i e w S t a t e \ I D i a g r a m L i n k " / & g t ; & l t ; / a : K e y V a l u e O f D i a g r a m O b j e c t K e y a n y T y p e z b w N T n L X & g t ; & l t ; a : K e y V a l u e O f D i a g r a m O b j e c t K e y a n y T y p e z b w N T n L X & g t ; & l t ; a : K e y & g t ; & l t ; K e y & g t ; L i n k s \ & a m p ; l t ; C o l u m n s \ S u m   o f   A m b   a r r i v a l s & a m p ; g t ; - & a m p ; l t ; M e a s u r e s \ A m b   a r r i v a l s & a m p ; g t ; \ C O L U M N & l t ; / K e y & g t ; & l t ; / a : K e y & g t ; & l t ; a : V a l u e   i : t y p e = " M e a s u r e G r i d B a s e V i e w S t a t e \ I D i a g r a m L i n k E n d p o i n t " / & g t ; & l t ; / a : K e y V a l u e O f D i a g r a m O b j e c t K e y a n y T y p e z b w N T n L X & g t ; & l t ; a : K e y V a l u e O f D i a g r a m O b j e c t K e y a n y T y p e z b w N T n L X & g t ; & l t ; a : K e y & g t ; & l t ; K e y & g t ; L i n k s \ & a m p ; l t ; C o l u m n s \ S u m   o f   A m b   a r r i v a l s & a m p ; g t ; - & a m p ; l t ; M e a s u r e s \ A m b   a r r i v a l s & a m p ; g t ; \ M E A S U R E & l t ; / K e y & g t ; & l t ; / a : K e y & g t ; & l t ; a : V a l u e   i : t y p e = " M e a s u r e G r i d B a s e V i e w S t a t e \ I D i a g r a m L i n k E n d p o i n t " / & g t ; & l t ; / a : K e y V a l u e O f D i a g r a m O b j e c t K e y a n y T y p e z b w N T n L X & g t ; & l t ; a : K e y V a l u e O f D i a g r a m O b j e c t K e y a n y T y p e z b w N T n L X & g t ; & l t ; a : K e y & g t ; & l t ; K e y & g t ; L i n k s \ & a m p ; l t ; C o l u m n s \ S u m   o f   A m b   d e l a y s   3 0 - 6 0   m i n s & a m p ; g t ; - & a m p ; l t ; M e a s u r e s \ A m b   d e l a y s   3 0 - 6 0   m i n s & a m p ; g t ; & l t ; / K e y & g t ; & l t ; / a : K e y & g t ; & l t ; a : V a l u e   i : t y p e = " M e a s u r e G r i d B a s e V i e w S t a t e \ I D i a g r a m L i n k " / & g t ; & l t ; / a : K e y V a l u e O f D i a g r a m O b j e c t K e y a n y T y p e z b w N T n L X & g t ; & l t ; a : K e y V a l u e O f D i a g r a m O b j e c t K e y a n y T y p e z b w N T n L X & g t ; & l t ; a : K e y & g t ; & l t ; K e y & g t ; L i n k s \ & a m p ; l t ; C o l u m n s \ S u m   o f   A m b   d e l a y s   3 0 - 6 0   m i n s & a m p ; g t ; - & a m p ; l t ; M e a s u r e s \ A m b   d e l a y s   3 0 - 6 0   m i n s & a m p ; g t ; \ C O L U M N & l t ; / K e y & g t ; & l t ; / a : K e y & g t ; & l t ; a : V a l u e   i : t y p e = " M e a s u r e G r i d B a s e V i e w S t a t e \ I D i a g r a m L i n k E n d p o i n t " / & g t ; & l t ; / a : K e y V a l u e O f D i a g r a m O b j e c t K e y a n y T y p e z b w N T n L X & g t ; & l t ; a : K e y V a l u e O f D i a g r a m O b j e c t K e y a n y T y p e z b w N T n L X & g t ; & l t ; a : K e y & g t ; & l t ; K e y & g t ; L i n k s \ & a m p ; l t ; C o l u m n s \ S u m   o f   A m b   d e l a y s   3 0 - 6 0   m i n s & a m p ; g t ; - & a m p ; l t ; M e a s u r e s \ A m b   d e l a y s   3 0 - 6 0   m i n s & a m p ; g t ; \ M E A S U R E & l t ; / K e y & g t ; & l t ; / a : K e y & g t ; & l t ; a : V a l u e   i : t y p e = " M e a s u r e G r i d B a s e V i e w S t a t e \ I D i a g r a m L i n k E n d p o i n t " / & g t ; & l t ; / a : K e y V a l u e O f D i a g r a m O b j e c t K e y a n y T y p e z b w N T n L X & g t ; & l t ; a : K e y V a l u e O f D i a g r a m O b j e c t K e y a n y T y p e z b w N T n L X & g t ; & l t ; a : K e y & g t ; & l t ; K e y & g t ; L i n k s \ & a m p ; l t ; C o l u m n s \ S u m   o f   A m b   d e l a y s   o v e r   6 0   m i n s & a m p ; g t ; - & a m p ; l t ; M e a s u r e s \ A m b   d e l a y s   o v e r   6 0   m i n s & a m p ; g t ; & l t ; / K e y & g t ; & l t ; / a : K e y & g t ; & l t ; a : V a l u e   i : t y p e = " M e a s u r e G r i d B a s e V i e w S t a t e \ I D i a g r a m L i n k " / & g t ; & l t ; / a : K e y V a l u e O f D i a g r a m O b j e c t K e y a n y T y p e z b w N T n L X & g t ; & l t ; a : K e y V a l u e O f D i a g r a m O b j e c t K e y a n y T y p e z b w N T n L X & g t ; & l t ; a : K e y & g t ; & l t ; K e y & g t ; L i n k s \ & a m p ; l t ; C o l u m n s \ S u m   o f   A m b   d e l a y s   o v e r   6 0   m i n s & a m p ; g t ; - & a m p ; l t ; M e a s u r e s \ A m b   d e l a y s   o v e r   6 0   m i n s & a m p ; g t ; \ C O L U M N & l t ; / K e y & g t ; & l t ; / a : K e y & g t ; & l t ; a : V a l u e   i : t y p e = " M e a s u r e G r i d B a s e V i e w S t a t e \ I D i a g r a m L i n k E n d p o i n t " / & g t ; & l t ; / a : K e y V a l u e O f D i a g r a m O b j e c t K e y a n y T y p e z b w N T n L X & g t ; & l t ; a : K e y V a l u e O f D i a g r a m O b j e c t K e y a n y T y p e z b w N T n L X & g t ; & l t ; a : K e y & g t ; & l t ; K e y & g t ; L i n k s \ & a m p ; l t ; C o l u m n s \ S u m   o f   A m b   d e l a y s   o v e r   6 0   m i n s & a m p ; g t ; - & a m p ; l t ; M e a s u r e s \ A m b   d e l a y s   o v e r   6 0   m i n s & a m p ; g t ; \ M E A S U R E & l t ; / K e y & g t ; & l t ; / a : K e y & g t ; & l t ; a : V a l u e   i : t y p e = " M e a s u r e G r i d B a s e V i e w S t a t e \ I D i a g r a m L i n k E n d p o i n t " / & g t ; & l t ; / a : K e y V a l u e O f D i a g r a m O b j e c t K e y a n y T y p e z b w N T n L X & g t ; & l t ; a : K e y V a l u e O f D i a g r a m O b j e c t K e y a n y T y p e z b w N T n L X & g t ; & l t ; a : K e y & g t ; & l t ; K e y & g t ; L i n k s \ & a m p ; l t ; C o l u m n s \ S u m   o f   A d u l t   C C   b e d s   a v a i l & a m p ; g t ; - & a m p ; l t ; M e a s u r e s \ A d u l t   C C   b e d s   a v a i l & a m p ; g t ; & l t ; / K e y & g t ; & l t ; / a : K e y & g t ; & l t ; a : V a l u e   i : t y p e = " M e a s u r e G r i d B a s e V i e w S t a t e \ I D i a g r a m L i n k " / & g t ; & l t ; / a : K e y V a l u e O f D i a g r a m O b j e c t K e y a n y T y p e z b w N T n L X & g t ; & l t ; a : K e y V a l u e O f D i a g r a m O b j e c t K e y a n y T y p e z b w N T n L X & g t ; & l t ; a : K e y & g t ; & l t ; K e y & g t ; L i n k s \ & a m p ; l t ; C o l u m n s \ S u m   o f   A d u l t   C C   b e d s   a v a i l & a m p ; g t ; - & a m p ; l t ; M e a s u r e s \ A d u l t   C C   b e d s   a v a i l & a m p ; g t ; \ C O L U M N & l t ; / K e y & g t ; & l t ; / a : K e y & g t ; & l t ; a : V a l u e   i : t y p e = " M e a s u r e G r i d B a s e V i e w S t a t e \ I D i a g r a m L i n k E n d p o i n t " / & g t ; & l t ; / a : K e y V a l u e O f D i a g r a m O b j e c t K e y a n y T y p e z b w N T n L X & g t ; & l t ; a : K e y V a l u e O f D i a g r a m O b j e c t K e y a n y T y p e z b w N T n L X & g t ; & l t ; a : K e y & g t ; & l t ; K e y & g t ; L i n k s \ & a m p ; l t ; C o l u m n s \ S u m   o f   A d u l t   C C   b e d s   a v a i l & a m p ; g t ; - & a m p ; l t ; M e a s u r e s \ A d u l t   C C   b e d s   a v a i l & a m p ; g t ; \ M E A S U R E & l t ; / K e y & g t ; & l t ; / a : K e y & g t ; & l t ; a : V a l u e   i : t y p e = " M e a s u r e G r i d B a s e V i e w S t a t e \ I D i a g r a m L i n k E n d p o i n t " / & g t ; & l t ; / a : K e y V a l u e O f D i a g r a m O b j e c t K e y a n y T y p e z b w N T n L X & g t ; & l t ; a : K e y V a l u e O f D i a g r a m O b j e c t K e y a n y T y p e z b w N T n L X & g t ; & l t ; a : K e y & g t ; & l t ; K e y & g t ; L i n k s \ & a m p ; l t ; C o l u m n s \ S u m   o f   A d u l t   C C   b e d s   o c c & a m p ; g t ; - & a m p ; l t ; M e a s u r e s \ A d u l t   C C   b e d s   o c c & a m p ; g t ; & l t ; / K e y & g t ; & l t ; / a : K e y & g t ; & l t ; a : V a l u e   i : t y p e = " M e a s u r e G r i d B a s e V i e w S t a t e \ I D i a g r a m L i n k " / & g t ; & l t ; / a : K e y V a l u e O f D i a g r a m O b j e c t K e y a n y T y p e z b w N T n L X & g t ; & l t ; a : K e y V a l u e O f D i a g r a m O b j e c t K e y a n y T y p e z b w N T n L X & g t ; & l t ; a : K e y & g t ; & l t ; K e y & g t ; L i n k s \ & a m p ; l t ; C o l u m n s \ S u m   o f   A d u l t   C C   b e d s   o c c & a m p ; g t ; - & a m p ; l t ; M e a s u r e s \ A d u l t   C C   b e d s   o c c & a m p ; g t ; \ C O L U M N & l t ; / K e y & g t ; & l t ; / a : K e y & g t ; & l t ; a : V a l u e   i : t y p e = " M e a s u r e G r i d B a s e V i e w S t a t e \ I D i a g r a m L i n k E n d p o i n t " / & g t ; & l t ; / a : K e y V a l u e O f D i a g r a m O b j e c t K e y a n y T y p e z b w N T n L X & g t ; & l t ; a : K e y V a l u e O f D i a g r a m O b j e c t K e y a n y T y p e z b w N T n L X & g t ; & l t ; a : K e y & g t ; & l t ; K e y & g t ; L i n k s \ & a m p ; l t ; C o l u m n s \ S u m   o f   A d u l t   C C   b e d s   o c c & a m p ; g t ; - & a m p ; l t ; M e a s u r e s \ A d u l t   C C   b e d s   o c c & a m p ; g t ; \ M E A S U R E & l t ; / K e y & g t ; & l t ; / a : K e y & g t ; & l t ; a : V a l u e   i : t y p e = " M e a s u r e G r i d B a s e V i e w S t a t e \ I D i a g r a m L i n k E n d p o i n t " / & g t ; & l t ; / a : K e y V a l u e O f D i a g r a m O b j e c t K e y a n y T y p e z b w N T n L X & g t ; & l t ; a : K e y V a l u e O f D i a g r a m O b j e c t K e y a n y T y p e z b w N T n L X & g t ; & l t ; a : K e y & g t ; & l t ; K e y & g t ; L i n k s \ & a m p ; l t ; C o l u m n s \ S u m   o f   P a e d   I n t   C a r e   A v a i l & a m p ; g t ; - & a m p ; l t ; M e a s u r e s \ P a e d   I n t   C a r e   A v a i l & a m p ; g t ; & l t ; / K e y & g t ; & l t ; / a : K e y & g t ; & l t ; a : V a l u e   i : t y p e = " M e a s u r e G r i d B a s e V i e w S t a t e \ I D i a g r a m L i n k " / & g t ; & l t ; / a : K e y V a l u e O f D i a g r a m O b j e c t K e y a n y T y p e z b w N T n L X & g t ; & l t ; a : K e y V a l u e O f D i a g r a m O b j e c t K e y a n y T y p e z b w N T n L X & g t ; & l t ; a : K e y & g t ; & l t ; K e y & g t ; L i n k s \ & a m p ; l t ; C o l u m n s \ S u m   o f   P a e d   I n t   C a r e   A v a i l & a m p ; g t ; - & a m p ; l t ; M e a s u r e s \ P a e d   I n t   C a r e   A v a i l & a m p ; g t ; \ C O L U M N & l t ; / K e y & g t ; & l t ; / a : K e y & g t ; & l t ; a : V a l u e   i : t y p e = " M e a s u r e G r i d B a s e V i e w S t a t e \ I D i a g r a m L i n k E n d p o i n t " / & g t ; & l t ; / a : K e y V a l u e O f D i a g r a m O b j e c t K e y a n y T y p e z b w N T n L X & g t ; & l t ; a : K e y V a l u e O f D i a g r a m O b j e c t K e y a n y T y p e z b w N T n L X & g t ; & l t ; a : K e y & g t ; & l t ; K e y & g t ; L i n k s \ & a m p ; l t ; C o l u m n s \ S u m   o f   P a e d   I n t   C a r e   A v a i l & a m p ; g t ; - & a m p ; l t ; M e a s u r e s \ P a e d   I n t   C a r e   A v a i l & a m p ; g t ; \ M E A S U R E & l t ; / K e y & g t ; & l t ; / a : K e y & g t ; & l t ; a : V a l u e   i : t y p e = " M e a s u r e G r i d B a s e V i e w S t a t e \ I D i a g r a m L i n k E n d p o i n t " / & g t ; & l t ; / a : K e y V a l u e O f D i a g r a m O b j e c t K e y a n y T y p e z b w N T n L X & g t ; & l t ; a : K e y V a l u e O f D i a g r a m O b j e c t K e y a n y T y p e z b w N T n L X & g t ; & l t ; a : K e y & g t ; & l t ; K e y & g t ; L i n k s \ & a m p ; l t ; C o l u m n s \ S u m   o f   P a e d   I n t   C a r e   O c c & a m p ; g t ; - & a m p ; l t ; M e a s u r e s \ P a e d   I n t   C a r e   O c c & a m p ; g t ; & l t ; / K e y & g t ; & l t ; / a : K e y & g t ; & l t ; a : V a l u e   i : t y p e = " M e a s u r e G r i d B a s e V i e w S t a t e \ I D i a g r a m L i n k " / & g t ; & l t ; / a : K e y V a l u e O f D i a g r a m O b j e c t K e y a n y T y p e z b w N T n L X & g t ; & l t ; a : K e y V a l u e O f D i a g r a m O b j e c t K e y a n y T y p e z b w N T n L X & g t ; & l t ; a : K e y & g t ; & l t ; K e y & g t ; L i n k s \ & a m p ; l t ; C o l u m n s \ S u m   o f   P a e d   I n t   C a r e   O c c & a m p ; g t ; - & a m p ; l t ; M e a s u r e s \ P a e d   I n t   C a r e   O c c & a m p ; g t ; \ C O L U M N & l t ; / K e y & g t ; & l t ; / a : K e y & g t ; & l t ; a : V a l u e   i : t y p e = " M e a s u r e G r i d B a s e V i e w S t a t e \ I D i a g r a m L i n k E n d p o i n t " / & g t ; & l t ; / a : K e y V a l u e O f D i a g r a m O b j e c t K e y a n y T y p e z b w N T n L X & g t ; & l t ; a : K e y V a l u e O f D i a g r a m O b j e c t K e y a n y T y p e z b w N T n L X & g t ; & l t ; a : K e y & g t ; & l t ; K e y & g t ; L i n k s \ & a m p ; l t ; C o l u m n s \ S u m   o f   P a e d   I n t   C a r e   O c c & a m p ; g t ; - & a m p ; l t ; M e a s u r e s \ P a e d   I n t   C a r e   O c c & a m p ; g t ; \ M E A S U R E & l t ; / K e y & g t ; & l t ; / a : K e y & g t ; & l t ; a : V a l u e   i : t y p e = " M e a s u r e G r i d B a s e V i e w S t a t e \ I D i a g r a m L i n k E n d p o i n t " / & g t ; & l t ; / a : K e y V a l u e O f D i a g r a m O b j e c t K e y a n y T y p e z b w N T n L X & g t ; & l t ; a : K e y V a l u e O f D i a g r a m O b j e c t K e y a n y T y p e z b w N T n L X & g t ; & l t ; a : K e y & g t ; & l t ; K e y & g t ; L i n k s \ & a m p ; l t ; C o l u m n s \ S u m   o f   N e o   I n t   C a r e   A v a i l & a m p ; g t ; - & a m p ; l t ; M e a s u r e s \ N e o   I n t   C a r e   A v a i l & a m p ; g t ; & l t ; / K e y & g t ; & l t ; / a : K e y & g t ; & l t ; a : V a l u e   i : t y p e = " M e a s u r e G r i d B a s e V i e w S t a t e \ I D i a g r a m L i n k " / & g t ; & l t ; / a : K e y V a l u e O f D i a g r a m O b j e c t K e y a n y T y p e z b w N T n L X & g t ; & l t ; a : K e y V a l u e O f D i a g r a m O b j e c t K e y a n y T y p e z b w N T n L X & g t ; & l t ; a : K e y & g t ; & l t ; K e y & g t ; L i n k s \ & a m p ; l t ; C o l u m n s \ S u m   o f   N e o   I n t   C a r e   A v a i l & a m p ; g t ; - & a m p ; l t ; M e a s u r e s \ N e o   I n t   C a r e   A v a i l & a m p ; g t ; \ C O L U M N & l t ; / K e y & g t ; & l t ; / a : K e y & g t ; & l t ; a : V a l u e   i : t y p e = " M e a s u r e G r i d B a s e V i e w S t a t e \ I D i a g r a m L i n k E n d p o i n t " / & g t ; & l t ; / a : K e y V a l u e O f D i a g r a m O b j e c t K e y a n y T y p e z b w N T n L X & g t ; & l t ; a : K e y V a l u e O f D i a g r a m O b j e c t K e y a n y T y p e z b w N T n L X & g t ; & l t ; a : K e y & g t ; & l t ; K e y & g t ; L i n k s \ & a m p ; l t ; C o l u m n s \ S u m   o f   N e o   I n t   C a r e   A v a i l & a m p ; g t ; - & a m p ; l t ; M e a s u r e s \ N e o   I n t   C a r e   A v a i l & a m p ; g t ; \ M E A S U R E & l t ; / K e y & g t ; & l t ; / a : K e y & g t ; & l t ; a : V a l u e   i : t y p e = " M e a s u r e G r i d B a s e V i e w S t a t e \ I D i a g r a m L i n k E n d p o i n t " / & g t ; & l t ; / a : K e y V a l u e O f D i a g r a m O b j e c t K e y a n y T y p e z b w N T n L X & g t ; & l t ; a : K e y V a l u e O f D i a g r a m O b j e c t K e y a n y T y p e z b w N T n L X & g t ; & l t ; a : K e y & g t ; & l t ; K e y & g t ; L i n k s \ & a m p ; l t ; C o l u m n s \ S u m   o f   N e o   I n t   C a r e   o c c & a m p ; g t ; - & a m p ; l t ; M e a s u r e s \ N e o   I n t   C a r e   o c c & a m p ; g t ; & l t ; / K e y & g t ; & l t ; / a : K e y & g t ; & l t ; a : V a l u e   i : t y p e = " M e a s u r e G r i d B a s e V i e w S t a t e \ I D i a g r a m L i n k " / & g t ; & l t ; / a : K e y V a l u e O f D i a g r a m O b j e c t K e y a n y T y p e z b w N T n L X & g t ; & l t ; a : K e y V a l u e O f D i a g r a m O b j e c t K e y a n y T y p e z b w N T n L X & g t ; & l t ; a : K e y & g t ; & l t ; K e y & g t ; L i n k s \ & a m p ; l t ; C o l u m n s \ S u m   o f   N e o   I n t   C a r e   o c c & a m p ; g t ; - & a m p ; l t ; M e a s u r e s \ N e o   I n t   C a r e   o c c & a m p ; g t ; \ C O L U M N & l t ; / K e y & g t ; & l t ; / a : K e y & g t ; & l t ; a : V a l u e   i : t y p e = " M e a s u r e G r i d B a s e V i e w S t a t e \ I D i a g r a m L i n k E n d p o i n t " / & g t ; & l t ; / a : K e y V a l u e O f D i a g r a m O b j e c t K e y a n y T y p e z b w N T n L X & g t ; & l t ; a : K e y V a l u e O f D i a g r a m O b j e c t K e y a n y T y p e z b w N T n L X & g t ; & l t ; a : K e y & g t ; & l t ; K e y & g t ; L i n k s \ & a m p ; l t ; C o l u m n s \ S u m   o f   N e o   I n t   C a r e   o c c & a m p ; g t ; - & a m p ; l t ; M e a s u r e s \ N e o   I n t   C a r e   o c c & a m p ; g t ; \ M E A S U R E & l t ; / K e y & g t ; & l t ; / a : K e y & g t ; & l t ; a : V a l u e   i : t y p e = " M e a s u r e G r i d B a s e V i e w S t a t e \ I D i a g r a m L i n k E n d p o i n t " / & g t ; & l t ; / a : K e y V a l u e O f D i a g r a m O b j e c t K e y a n y T y p e z b w N T n L X & g t ; & l t ; a : K e y V a l u e O f D i a g r a m O b j e c t K e y a n y T y p e z b w N T n L X & g t ; & l t ; a : K e y & g t ; & l t ; K e y & g t ; L i n k s \ & a m p ; l t ; C o l u m n s \ A v e r a g e   o f   N e o   I n t   C a r e   A v a i l & a m p ; g t ; - & a m p ; l t ; M e a s u r e s \ N e o   I n t   C a r e   A v a i l & a m p ; g t ; & l t ; / K e y & g t ; & l t ; / a : K e y & g t ; & l t ; a : V a l u e   i : t y p e = " M e a s u r e G r i d B a s e V i e w S t a t e \ I D i a g r a m L i n k " / & g t ; & l t ; / a : K e y V a l u e O f D i a g r a m O b j e c t K e y a n y T y p e z b w N T n L X & g t ; & l t ; a : K e y V a l u e O f D i a g r a m O b j e c t K e y a n y T y p e z b w N T n L X & g t ; & l t ; a : K e y & g t ; & l t ; K e y & g t ; L i n k s \ & a m p ; l t ; C o l u m n s \ A v e r a g e   o f   N e o   I n t   C a r e   A v a i l & a m p ; g t ; - & a m p ; l t ; M e a s u r e s \ N e o   I n t   C a r e   A v a i l & a m p ; g t ; \ C O L U M N & l t ; / K e y & g t ; & l t ; / a : K e y & g t ; & l t ; a : V a l u e   i : t y p e = " M e a s u r e G r i d B a s e V i e w S t a t e \ I D i a g r a m L i n k E n d p o i n t " / & g t ; & l t ; / a : K e y V a l u e O f D i a g r a m O b j e c t K e y a n y T y p e z b w N T n L X & g t ; & l t ; a : K e y V a l u e O f D i a g r a m O b j e c t K e y a n y T y p e z b w N T n L X & g t ; & l t ; a : K e y & g t ; & l t ; K e y & g t ; L i n k s \ & a m p ; l t ; C o l u m n s \ A v e r a g e   o f   N e o   I n t   C a r e   A v a i l & a m p ; g t ; - & a m p ; l t ; M e a s u r e s \ N e o   I n t   C a r e   A v a i l & a m p ; g t ; \ M E A S U R E & l t ; / K e y & g t ; & l t ; / a : K e y & g t ; & l t ; a : V a l u e   i : t y p e = " M e a s u r e G r i d B a s e V i e w S t a t e \ I D i a g r a m L i n k E n d p o i n t " / & g t ; & l t ; / a : K e y V a l u e O f D i a g r a m O b j e c t K e y a n y T y p e z b w N T n L X & g t ; & l t ; a : K e y V a l u e O f D i a g r a m O b j e c t K e y a n y T y p e z b w N T n L X & g t ; & l t ; a : K e y & g t ; & l t ; K e y & g t ; L i n k s \ & a m p ; l t ; C o l u m n s \ A v e r a g e   o f   N e o   I n t   C a r e   o c c & a m p ; g t ; - & a m p ; l t ; M e a s u r e s \ N e o   I n t   C a r e   o c c & a m p ; g t ; & l t ; / K e y & g t ; & l t ; / a : K e y & g t ; & l t ; a : V a l u e   i : t y p e = " M e a s u r e G r i d B a s e V i e w S t a t e \ I D i a g r a m L i n k " / & g t ; & l t ; / a : K e y V a l u e O f D i a g r a m O b j e c t K e y a n y T y p e z b w N T n L X & g t ; & l t ; a : K e y V a l u e O f D i a g r a m O b j e c t K e y a n y T y p e z b w N T n L X & g t ; & l t ; a : K e y & g t ; & l t ; K e y & g t ; L i n k s \ & a m p ; l t ; C o l u m n s \ A v e r a g e   o f   N e o   I n t   C a r e   o c c & a m p ; g t ; - & a m p ; l t ; M e a s u r e s \ N e o   I n t   C a r e   o c c & a m p ; g t ; \ C O L U M N & l t ; / K e y & g t ; & l t ; / a : K e y & g t ; & l t ; a : V a l u e   i : t y p e = " M e a s u r e G r i d B a s e V i e w S t a t e \ I D i a g r a m L i n k E n d p o i n t " / & g t ; & l t ; / a : K e y V a l u e O f D i a g r a m O b j e c t K e y a n y T y p e z b w N T n L X & g t ; & l t ; a : K e y V a l u e O f D i a g r a m O b j e c t K e y a n y T y p e z b w N T n L X & g t ; & l t ; a : K e y & g t ; & l t ; K e y & g t ; L i n k s \ & a m p ; l t ; C o l u m n s \ A v e r a g e   o f   N e o   I n t   C a r e   o c c & a m p ; g t ; - & a m p ; l t ; M e a s u r e s \ N e o   I n t   C a r e   o c c & a m p ; g t ; \ M E A S U R E & l t ; / K e y & g t ; & l t ; / a : K e y & g t ; & l t ; a : V a l u e   i : t y p e = " M e a s u r e G r i d B a s e V i e w S t a t e \ I D i a g r a m L i n k E n d p o i n t " / & g t ; & l t ; / a : K e y V a l u e O f D i a g r a m O b j e c t K e y a n y T y p e z b w N T n L X & g t ; & l t ; a : K e y V a l u e O f D i a g r a m O b j e c t K e y a n y T y p e z b w N T n L X & g t ; & l t ; a : K e y & g t ; & l t ; K e y & g t ; L i n k s \ & a m p ; l t ; C o l u m n s \ S u m   o f   G A   b e d   o c c u p a n c y & a m p ; g t ; - & a m p ; l t ; M e a s u r e s \ G A   b e d   o c c u p a n c y & a m p ; g t ; & l t ; / K e y & g t ; & l t ; / a : K e y & g t ; & l t ; a : V a l u e   i : t y p e = " M e a s u r e G r i d B a s e V i e w S t a t e \ I D i a g r a m L i n k " / & g t ; & l t ; / a : K e y V a l u e O f D i a g r a m O b j e c t K e y a n y T y p e z b w N T n L X & g t ; & l t ; a : K e y V a l u e O f D i a g r a m O b j e c t K e y a n y T y p e z b w N T n L X & g t ; & l t ; a : K e y & g t ; & l t ; K e y & g t ; L i n k s \ & a m p ; l t ; C o l u m n s \ S u m   o f   G A   b e d   o c c u p a n c y & a m p ; g t ; - & a m p ; l t ; M e a s u r e s \ G A   b e d   o c c u p a n c y & a m p ; g t ; \ C O L U M N & l t ; / K e y & g t ; & l t ; / a : K e y & g t ; & l t ; a : V a l u e   i : t y p e = " M e a s u r e G r i d B a s e V i e w S t a t e \ I D i a g r a m L i n k E n d p o i n t " / & g t ; & l t ; / a : K e y V a l u e O f D i a g r a m O b j e c t K e y a n y T y p e z b w N T n L X & g t ; & l t ; a : K e y V a l u e O f D i a g r a m O b j e c t K e y a n y T y p e z b w N T n L X & g t ; & l t ; a : K e y & g t ; & l t ; K e y & g t ; L i n k s \ & a m p ; l t ; C o l u m n s \ S u m   o f   G A   b e d   o c c u p a n c y & a m p ; g t ; - & a m p ; l t ; M e a s u r e s \ G A   b e d   o c c u p a n c y & a m p ; g t ; \ M E A S U R E & l t ; / K e y & g t ; & l t ; / a : K e y & g t ; & l t ; a : V a l u e   i : t y p e = " M e a s u r e G r i d B a s e V i e w S t a t e \ I D i a g r a m L i n k E n d p o i n t " / & g t ; & l t ; / a : K e y V a l u e O f D i a g r a m O b j e c t K e y a n y T y p e z b w N T n L X & g t ; & l t ; a : K e y V a l u e O f D i a g r a m O b j e c t K e y a n y T y p e z b w N T n L X & g t ; & l t ; a : K e y & g t ; & l t ; K e y & g t ; L i n k s \ & a m p ; l t ; C o l u m n s \ A v e r a g e   o f   G A   b e d   o c c u p a n c y & a m p ; g t ; - & a m p ; l t ; M e a s u r e s \ G A   b e d   o c c u p a n c y & a m p ; g t ; & l t ; / K e y & g t ; & l t ; / a : K e y & g t ; & l t ; a : V a l u e   i : t y p e = " M e a s u r e G r i d B a s e V i e w S t a t e \ I D i a g r a m L i n k " / & g t ; & l t ; / a : K e y V a l u e O f D i a g r a m O b j e c t K e y a n y T y p e z b w N T n L X & g t ; & l t ; a : K e y V a l u e O f D i a g r a m O b j e c t K e y a n y T y p e z b w N T n L X & g t ; & l t ; a : K e y & g t ; & l t ; K e y & g t ; L i n k s \ & a m p ; l t ; C o l u m n s \ A v e r a g e   o f   G A   b e d   o c c u p a n c y & a m p ; g t ; - & a m p ; l t ; M e a s u r e s \ G A   b e d   o c c u p a n c y & a m p ; g t ; \ C O L U M N & l t ; / K e y & g t ; & l t ; / a : K e y & g t ; & l t ; a : V a l u e   i : t y p e = " M e a s u r e G r i d B a s e V i e w S t a t e \ I D i a g r a m L i n k E n d p o i n t " / & g t ; & l t ; / a : K e y V a l u e O f D i a g r a m O b j e c t K e y a n y T y p e z b w N T n L X & g t ; & l t ; a : K e y V a l u e O f D i a g r a m O b j e c t K e y a n y T y p e z b w N T n L X & g t ; & l t ; a : K e y & g t ; & l t ; K e y & g t ; L i n k s \ & a m p ; l t ; C o l u m n s \ A v e r a g e   o f   G A   b e d   o c c u p a n c y & a m p ; g t ; - & a m p ; l t ; M e a s u r e s \ G A   b e d   o c c u p a n c y & a m p ; g t ; \ M E A S U R E & l t ; / K e y & g t ; & l t ; / a : K e y & g t ; & l t ; a : V a l u e   i : t y p e = " M e a s u r e G r i d B a s e V i e w S t a t e \ I D i a g r a m L i n k E n d p o i n t " / & g t ; & l t ; / a : K e y V a l u e O f D i a g r a m O b j e c t K e y a n y T y p e z b w N T n L X & g t ; & l t ; a : K e y V a l u e O f D i a g r a m O b j e c t K e y a n y T y p e z b w N T n L X & g t ; & l t ; a : K e y & g t ; & l t ; K e y & g t ; L i n k s \ & a m p ; l t ; C o l u m n s \ S u m   o f   G A   c o r e   b e d s   a v a i l & a m p ; g t ; - & a m p ; l t ; M e a s u r e s \ G A   c o r e   b e d s   a v a i l & a m p ; g t ; & l t ; / K e y & g t ; & l t ; / a : K e y & g t ; & l t ; a : V a l u e   i : t y p e = " M e a s u r e G r i d B a s e V i e w S t a t e \ I D i a g r a m L i n k " / & g t ; & l t ; / a : K e y V a l u e O f D i a g r a m O b j e c t K e y a n y T y p e z b w N T n L X & g t ; & l t ; a : K e y V a l u e O f D i a g r a m O b j e c t K e y a n y T y p e z b w N T n L X & g t ; & l t ; a : K e y & g t ; & l t ; K e y & g t ; L i n k s \ & a m p ; l t ; C o l u m n s \ S u m   o f   G A   c o r e   b e d s   a v a i l & a m p ; g t ; - & a m p ; l t ; M e a s u r e s \ G A   c o r e   b e d s   a v a i l & a m p ; g t ; \ C O L U M N & l t ; / K e y & g t ; & l t ; / a : K e y & g t ; & l t ; a : V a l u e   i : t y p e = " M e a s u r e G r i d B a s e V i e w S t a t e \ I D i a g r a m L i n k E n d p o i n t " / & g t ; & l t ; / a : K e y V a l u e O f D i a g r a m O b j e c t K e y a n y T y p e z b w N T n L X & g t ; & l t ; a : K e y V a l u e O f D i a g r a m O b j e c t K e y a n y T y p e z b w N T n L X & g t ; & l t ; a : K e y & g t ; & l t ; K e y & g t ; L i n k s \ & a m p ; l t ; C o l u m n s \ S u m   o f   G A   c o r e   b e d s   a v a i l & a m p ; g t ; - & a m p ; l t ; M e a s u r e s \ G A   c o r e   b e d s   a v a i l & a m p ; g t ; \ M E A S U R E & l t ; / K e y & g t ; & l t ; / a : K e y & g t ; & l t ; a : V a l u e   i : t y p e = " M e a s u r e G r i d B a s e V i e w S t a t e \ I D i a g r a m L i n k E n d p o i n t " / & g t ; & l t ; / a : K e y V a l u e O f D i a g r a m O b j e c t K e y a n y T y p e z b w N T n L X & g t ; & l t ; a : K e y V a l u e O f D i a g r a m O b j e c t K e y a n y T y p e z b w N T n L X & g t ; & l t ; a : K e y & g t ; & l t ; K e y & g t ; L i n k s \ & a m p ; l t ; C o l u m n s \ S u m   o f   G A   e s c a l a t i o n   b e d s   a v a i l & a m p ; g t ; - & a m p ; l t ; M e a s u r e s \ G A   e s c a l a t i o n   b e d s   a v a i l & a m p ; g t ; & l t ; / K e y & g t ; & l t ; / a : K e y & g t ; & l t ; a : V a l u e   i : t y p e = " M e a s u r e G r i d B a s e V i e w S t a t e \ I D i a g r a m L i n k " / & g t ; & l t ; / a : K e y V a l u e O f D i a g r a m O b j e c t K e y a n y T y p e z b w N T n L X & g t ; & l t ; a : K e y V a l u e O f D i a g r a m O b j e c t K e y a n y T y p e z b w N T n L X & g t ; & l t ; a : K e y & g t ; & l t ; K e y & g t ; L i n k s \ & a m p ; l t ; C o l u m n s \ S u m   o f   G A   e s c a l a t i o n   b e d s   a v a i l & a m p ; g t ; - & a m p ; l t ; M e a s u r e s \ G A   e s c a l a t i o n   b e d s   a v a i l & a m p ; g t ; \ C O L U M N & l t ; / K e y & g t ; & l t ; / a : K e y & g t ; & l t ; a : V a l u e   i : t y p e = " M e a s u r e G r i d B a s e V i e w S t a t e \ I D i a g r a m L i n k E n d p o i n t " / & g t ; & l t ; / a : K e y V a l u e O f D i a g r a m O b j e c t K e y a n y T y p e z b w N T n L X & g t ; & l t ; a : K e y V a l u e O f D i a g r a m O b j e c t K e y a n y T y p e z b w N T n L X & g t ; & l t ; a : K e y & g t ; & l t ; K e y & g t ; L i n k s \ & a m p ; l t ; C o l u m n s \ S u m   o f   G A   e s c a l a t i o n   b e d s   a v a i l & a m p ; g t ; - & a m p ; l t ; M e a s u r e s \ G A   e s c a l a t i o n   b e d s   a v a i l & a m p ; g t ; \ M E A S U R E & l t ; / K e y & g t ; & l t ; / a : K e y & g t ; & l t ; a : V a l u e   i : t y p e = " M e a s u r e G r i d B a s e V i e w S t a t e \ I D i a g r a m L i n k E n d p o i n t " / & g t ; & l t ; / a : K e y V a l u e O f D i a g r a m O b j e c t K e y a n y T y p e z b w N T n L X & g t ; & l t ; a : K e y V a l u e O f D i a g r a m O b j e c t K e y a n y T y p e z b w N T n L X & g t ; & l t ; a : K e y & g t ; & l t ; K e y & g t ; L i n k s \ & a m p ; l t ; C o l u m n s \ S u m   o f   B e d s   o c c   o v e r   1 4   d a y s   2 & a m p ; g t ; - & a m p ; l t ; M e a s u r e s \ B e d s   o c c   o v e r   1 4   d a y s & a m p ; g t ; & l t ; / K e y & g t ; & l t ; / a : K e y & g t ; & l t ; a : V a l u e   i : t y p e = " M e a s u r e G r i d B a s e V i e w S t a t e \ I D i a g r a m L i n k " / & g t ; & l t ; / a : K e y V a l u e O f D i a g r a m O b j e c t K e y a n y T y p e z b w N T n L X & g t ; & l t ; a : K e y V a l u e O f D i a g r a m O b j e c t K e y a n y T y p e z b w N T n L X & g t ; & l t ; a : K e y & g t ; & l t ; K e y & g t ; L i n k s \ & a m p ; l t ; C o l u m n s \ S u m   o f   B e d s   o c c   o v e r   1 4   d a y s   2 & a m p ; g t ; - & a m p ; l t ; M e a s u r e s \ B e d s   o c c   o v e r   1 4   d a y s & a m p ; g t ; \ C O L U M N & l t ; / K e y & g t ; & l t ; / a : K e y & g t ; & l t ; a : V a l u e   i : t y p e = " M e a s u r e G r i d B a s e V i e w S t a t e \ I D i a g r a m L i n k E n d p o i n t " / & g t ; & l t ; / a : K e y V a l u e O f D i a g r a m O b j e c t K e y a n y T y p e z b w N T n L X & g t ; & l t ; a : K e y V a l u e O f D i a g r a m O b j e c t K e y a n y T y p e z b w N T n L X & g t ; & l t ; a : K e y & g t ; & l t ; K e y & g t ; L i n k s \ & a m p ; l t ; C o l u m n s \ S u m   o f   B e d s   o c c   o v e r   1 4   d a y s   2 & a m p ; g t ; - & a m p ; l t ; M e a s u r e s \ B e d s   o c c   o v e r   1 4   d a y s & a m p ; g t ; \ M E A S U R E & l t ; / K e y & g t ; & l t ; / a : K e y & g t ; & l t ; a : V a l u e   i : t y p e = " M e a s u r e G r i d B a s e V i e w S t a t e \ I D i a g r a m L i n k E n d p o i n t " / & g t ; & l t ; / a : K e y V a l u e O f D i a g r a m O b j e c t K e y a n y T y p e z b w N T n L X & g t ; & l t ; / V i e w S t a t e s & g t ; & l t ; / D i a g r a m M a n a g e r . S e r i a l i z a b l e D i a g r a m & g t ; & l t ; / A r r a y O f D i a g r a m M a n a g e r . S e r i a l i z a b l e D i a g r a m & g t ; < / C u s t o m C o n t e n t > < / G e m i n i > 
</file>

<file path=customXml/item21.xml>��< ? x m l   v e r s i o n = " 1 . 0 "   e n c o d i n g = " U T F - 1 6 " ? > < G e m i n i   x m l n s = " h t t p : / / g e m i n i / p i v o t c u s t o m i z a t i o n / T a b l e O r d e r " > < C u s t o m C o n t e n t > W i n t e r   d a i l y   s i t r e p s _ 1 d f 8 1 2 b b - 9 f c 3 - 4 6 7 4 - 8 d 4 1 - 6 0 c 6 7 2 6 a 8 e f 3 , W i n t e r   b e d   o c c   o v e r   1 4   d a y s < / C u s t o m C o n t e n t > < / G e m i n i > 
</file>

<file path=customXml/item22.xml>��< ? x m l   v e r s i o n = " 1 . 0 "   e n c o d i n g = " U T F - 1 6 " ? > < G e m i n i   x m l n s = " h t t p : / / g e m i n i / p i v o t c u s t o m i z a t i o n / b d f a a e 4 a - 1 8 1 3 - 4 2 d f - 9 2 6 f - d e 8 e 8 9 8 8 7 2 a c " > < C u s t o m C o n t e n t > < ! [ C D A T A [ < ? x m l   v e r s i o n = " 1 . 0 "   e n c o d i n g = " u t f - 1 6 " ? > < S e t t i n g s > < H S l i c e r s S h a p e > 0 ; 0 ; 0 ; 0 < / H S l i c e r s S h a p e > < V S l i c e r s S h a p e > 0 ; 0 ; 0 ; 0 < / V S l i c e r s S h a p e > < S l i c e r S h e e t N a m e > L o n g   s t a y < / S l i c e r S h e e t N a m e > < S A H o s t H a s h > 1 0 2 8 2 5 0 7 5 7 < / S A H o s t H a s h > < G e m i n i F i e l d L i s t V i s i b l e > T r u e < / G e m i n i F i e l d L i s t V i s i b l e > < / S e t t i n g s > ] ] > < / C u s t o m C o n t e n t > < / G e m i n i > 
</file>

<file path=customXml/item23.xml>��< ? x m l   v e r s i o n = " 1 . 0 "   e n c o d i n g = " U T F - 1 6 " ? > < G e m i n i   x m l n s = " h t t p : / / g e m i n i / w o r k b o o k c u s t o m i z a t i o n / L i n k e d T a b l e s " > < C u s t o m C o n t e n t > < ! [ C D A T A [ < L i n k e d T a b l e s   x m l n s : x s i = " h t t p : / / w w w . w 3 . o r g / 2 0 0 1 / X M L S c h e m a - i n s t a n c e "   x m l n s : x s d = " h t t p : / / w w w . w 3 . o r g / 2 0 0 1 / X M L S c h e m a " > < L i n k e d T a b l e L i s t   / > < / L i n k e d T a b l e s > ] ] > < / C u s t o m C o n t e n t > < / G e m i n i > 
</file>

<file path=customXml/item24.xml>��< ? x m l   v e r s i o n = " 1 . 0 "   e n c o d i n g = " U T F - 1 6 " ? > < G e m i n i   x m l n s = " h t t p : / / g e m i n i / p i v o t c u s t o m i z a t i o n / 4 4 2 b e 5 3 0 - 2 b b 4 - 4 0 2 f - 8 e 5 2 - c b 6 0 f a 2 7 6 0 7 6 " > < 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 2 1 2 7 9 9 9 9 4 2 < / S A H o s t H a s h > < G e m i n i F i e l d L i s t V i s i b l e > F a l s e < / G e m i n i F i e l d L i s t V i s i b l e > < / S e t t i n g s > ] ] > < / C u s t o m C o n t e n t > < / G e m i n i > 
</file>

<file path=customXml/item25.xml>��< ? x m l   v e r s i o n = " 1 . 0 "   e n c o d i n g = " U T F - 1 6 " ? > < G e m i n i   x m l n s = " h t t p : / / g e m i n i / p i v o t c u s t o m i z a t i o n / 7 e c 8 6 b b 0 - 3 b f 3 - 4 9 4 4 - b 8 9 4 - a 8 0 5 7 7 8 9 e 3 6 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 8 6 2 3 2 1 2 0 5 < / S A H o s t H a s h > < G e m i n i F i e l d L i s t V i s i b l e > T r u e < / G e m i n i F i e l d L i s t V i s i b l e > < / S e t t i n g s > ] ] > < / C u s t o m C o n t e n t > < / G e m i n i > 
</file>

<file path=customXml/item26.xml>��< ? x m l   v e r s i o n = " 1 . 0 "   e n c o d i n g = " U T F - 1 6 " ? > < G e m i n i   x m l n s = " h t t p : / / g e m i n i / p i v o t c u s t o m i z a t i o n / S h o w I m p l i c i t M e a s u r e s " > < C u s t o m C o n t e n t > < ! [ C D A T A [ F a l s e ] ] > < / C u s t o m C o n t e n t > < / G e m i n i > 
</file>

<file path=customXml/item27.xml>��< ? x m l   v e r s i o n = " 1 . 0 "   e n c o d i n g = " U T F - 1 6 " ? > < G e m i n i   x m l n s = " h t t p : / / g e m i n i / p i v o t c u s t o m i z a t i o n / e 0 e c 1 1 d e - 9 8 1 b - 4 0 5 2 - a 8 f e - 1 e 8 c d 4 4 2 a a d e " > < 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 5 6 2 6 5 2 7 7 6 < / S A H o s t H a s h > < G e m i n i F i e l d L i s t V i s i b l e > F a l s e < / G e m i n i F i e l d L i s t V i s i b l e > < / S e t t i n g s > ] ] > < / C u s t o m C o n t e n t > < / G e m i n i > 
</file>

<file path=customXml/item28.xml>��< ? x m l   v e r s i o n = " 1 . 0 "   e n c o d i n g = " U T F - 1 6 " ? > < G e m i n i   x m l n s = " h t t p : / / g e m i n i / p i v o t c u s t o m i z a t i o n / a 2 b b 9 c 2 e - 6 6 0 6 - 4 0 c 6 - 8 9 8 8 - 4 a 0 b 4 9 a 1 5 b 1 b " > < 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 1 7 4 5 2 4 5 8 0 8 < / S A H o s t H a s h > < G e m i n i F i e l d L i s t V i s i b l e > F a l s e < / G e m i n i F i e l d L i s t V i s i b l e > < / S e t t i n g s > ] ] > < / C u s t o m C o n t e n t > < / G e m i n i > 
</file>

<file path=customXml/item29.xml>��< ? x m l   v e r s i o n = " 1 . 0 "   e n c o d i n g = " U T F - 1 6 " ? > < G e m i n i   x m l n s = " h t t p : / / g e m i n i / p i v o t c u s t o m i z a t i o n / 6 a 6 6 9 4 b f - 2 5 7 9 - 4 d 4 7 - a d 9 9 - 0 c f 6 6 9 c 7 9 f b 5 " > < 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 8 6 2 3 2 1 2 0 5 < / S A H o s t H a s h > < G e m i n i F i e l d L i s t V i s i b l e > T r u e < / G e m i n i F i e l d L i s t V i s i b l e > < / S e t t i n g s > ] ] > < / C u s t o m C o n t e n t > < / G e m i n i > 
</file>

<file path=customXml/item3.xml>��< ? x m l   v e r s i o n = " 1 . 0 "   e n c o d i n g = " U T F - 1 6 " ? > < G e m i n i   x m l n s = " h t t p : / / g e m i n i / p i v o t c u s t o m i z a t i o n / T a b l e C o u n t I n S a n d b o x " > < C u s t o m C o n t e n t > 2 < / C u s t o m C o n t e n t > < / G e m i n i > 
</file>

<file path=customXml/item30.xml>��< ? x m l   v e r s i o n = " 1 . 0 "   e n c o d i n g = " U T F - 1 6 " ? > < G e m i n i   x m l n s = " h t t p : / / g e m i n i / p i v o t c u s t o m i z a t i o n / e 2 d e 2 b 4 0 - f 5 8 f - 4 5 2 2 - b 9 8 5 - c 9 b 0 8 a 9 8 f 8 1 8 " > < 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 8 6 2 3 2 1 2 0 5 < / S A H o s t H a s h > < G e m i n i F i e l d L i s t V i s i b l e > F a l s e < / G e m i n i F i e l d L i s t V i s i b l e > < / S e t t i n g s > ] ] > < / C u s t o m C o n t e n t > < / G e m i n i > 
</file>

<file path=customXml/item31.xml>��< ? x m l   v e r s i o n = " 1 . 0 "   e n c o d i n g = " U T F - 1 6 " ? > < G e m i n i   x m l n s = " h t t p : / / g e m i n i / p i v o t c u s t o m i z a t i o n / 3 5 8 d a d 6 1 - f a 7 1 - 4 4 e 8 - 8 3 5 4 - 3 5 e a 4 1 b 2 9 d 4 d " > < 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 5 1 9 1 5 9 9 4 0 < / S A H o s t H a s h > < G e m i n i F i e l d L i s t V i s i b l e > T r u e < / G e m i n i F i e l d L i s t V i s i b l e > < / S e t t i n g s > ] ] > < / C u s t o m C o n t e n t > < / G e m i n i > 
</file>

<file path=customXml/item3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 x m l n s : i = " h t t p : / / w w w . w 3 . o r g / 2 0 0 1 / X M L S c h e m a - i n s t a n c e " & g t ; & l t ; K e y V a l u e O f s t r i n g S a n d b o x E d i t o r . M e a s u r e G r i d S t a t e S c d E 3 5 R y & g t ; & l t ; K e y & g t ; W i n t e r   d a i l y   s i t r e p s _ 1 d f 8 1 2 b b - 9 f c 3 - 4 6 7 4 - 8 d 4 1 - 6 0 c 6 7 2 6 a 8 e f 3 & l t ; / K e y & g t ; & l t ; V a l u e   x m l n s : a = " h t t p : / / s c h e m a s . d a t a c o n t r a c t . o r g / 2 0 0 4 / 0 7 / M i c r o s o f t . A n a l y s i s S e r v i c e s . C o m m o n " & g t ; & l t ; a : H a s F o c u s & g t ; t r u e & l t ; / a : H a s F o c u s & g t ; & l t ; a : S i z e A t D p i 9 6 & g t ; 2 5 5 & l t ; / a : S i z e A t D p i 9 6 & g t ; & l t ; a : V i s i b l e & g t ; t r u e & l t ; / a : V i s i b l e & g t ; & l t ; / V a l u e & g t ; & l t ; / K e y V a l u e O f s t r i n g S a n d b o x E d i t o r . M e a s u r e G r i d S t a t e S c d E 3 5 R y & g t ; & l t ; K e y V a l u e O f s t r i n g S a n d b o x E d i t o r . M e a s u r e G r i d S t a t e S c d E 3 5 R y & g t ; & l t ; K e y & g t ; W i n t e r   b e d   o c c   o v e r   1 4   d a y s & l t ; / K e y & g t ; & l t ; V a l u e   x m l n s : a = " h t t p : / / s c h e m a s . d a t a c o n t r a c t . o r g / 2 0 0 4 / 0 7 / M i c r o s o f t . A n a l y s i s S e r v i c e s . C o m m o n " & g t ; & l t ; a : H a s F o c u s & g t ; t r u e & l t ; / a : H a s F o c u s & g t ; & l t ; a : S i z e A t D p i 9 6 & g t ; 9 5 & l t ; / a : S i z e A t D p i 9 6 & g t ; & l t ; a : V i s i b l e & g t ; t r u e & l t ; / a : V i s i b l e & g t ; & l t ; / V a l u e & g t ; & l t ; / K e y V a l u e O f s t r i n g S a n d b o x E d i t o r . M e a s u r e G r i d S t a t e S c d E 3 5 R y & g t ; & l t ; / A r r a y O f K e y V a l u e O f s t r i n g S a n d b o x E d i t o r . M e a s u r e G r i d S t a t e S c d E 3 5 R y & g t ; < / C u s t o m C o n t e n t > < / G e m i n i > 
</file>

<file path=customXml/item33.xml>��< ? x m l   v e r s i o n = " 1 . 0 "   e n c o d i n g = " U T F - 1 6 " ? > < G e m i n i   x m l n s = " h t t p : / / g e m i n i / p i v o t c u s t o m i z a t i o n / a f d f 9 6 f 3 - f 6 e 1 - 4 f c 1 - 9 f b c - a e e 9 7 d b c 5 4 1 a " > < C u s t o m C o n t e n t > < ! [ C D A T A [ < ? x m l   v e r s i o n = " 1 . 0 "   e n c o d i n g = " u t f - 1 6 " ? > < S e t t i n g s > < H S l i c e r s S h a p e > 0 ; 0 ; 0 ; 0 < / H S l i c e r s S h a p e > < V S l i c e r s S h a p e > 0 ; 0 ; 0 ; 0 < / V S l i c e r s S h a p e > < S l i c e r S h e e t N a m e > G & a m p ; A   b e d   a v a i l . < / S l i c e r S h e e t N a m e > < S A H o s t H a s h > 3 1 3 7 6 2 5 7 3 < / S A H o s t H a s h > < G e m i n i F i e l d L i s t V i s i b l e > T r u e < / G e m i n i F i e l d L i s t V i s i b l e > < / S e t t i n g s > ] ] > < / C u s t o m C o n t e n t > < / G e m i n i > 
</file>

<file path=customXml/item34.xml>��< ? x m l   v e r s i o n = " 1 . 0 "   e n c o d i n g = " U T F - 1 6 " ? > < G e m i n i   x m l n s = " h t t p : / / g e m i n i / p i v o t c u s t o m i z a t i o n / 6 3 d 3 7 9 a d - 3 3 1 6 - 4 2 2 0 - 9 6 a b - b 2 4 f f 7 e d 4 0 9 f " > < 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 N I C U < / S l i c e r S h e e t N a m e > < S A H o s t H a s h > 4 3 6 0 7 4 2 3 5 < / S A H o s t H a s h > < G e m i n i F i e l d L i s t V i s i b l e > F a l s e < / G e m i n i F i e l d L i s t V i s i b l e > < / S e t t i n g s > ] ] > < / C u s t o m C o n t e n t > < / G e m i n i > 
</file>

<file path=customXml/item35.xml>��< ? x m l   v e r s i o n = " 1 . 0 "   e n c o d i n g = " U T F - 1 6 " ? > < G e m i n i   x m l n s = " h t t p : / / g e m i n i / w o r k b o o k c u s t o m i z a t i o n / I s S a n d b o x E m b e d d e d " > < C u s t o m C o n t e n t > < ! [ C D A T A [ y e s ] ] > < / C u s t o m C o n t e n t > < / G e m i n i > 
</file>

<file path=customXml/item36.xml>��< ? x m l   v e r s i o n = " 1 . 0 "   e n c o d i n g = " U T F - 1 6 " ? > < G e m i n i   x m l n s = " h t t p : / / g e m i n i / w o r k b o o k c u s t o m i z a t i o n / R e l a t i o n s h i p A u t o D e t e c t i o n E n a b l e d " > < C u s t o m C o n t e n t > < ! [ C D A T A [ T r u e ] ] > < / C u s t o m C o n t e n t > < / G e m i n i > 
</file>

<file path=customXml/item37.xml>��< ? x m l   v e r s i o n = " 1 . 0 "   e n c o d i n g = " U T F - 1 6 " ? > < G e m i n i   x m l n s = " h t t p : / / g e m i n i / p i v o t c u s t o m i z a t i o n / a 9 a f c b 0 6 - c f 4 7 - 4 2 c 4 - 8 4 c f - 8 6 9 5 c 1 3 3 0 1 5 2 " > < 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 9 1 6 4 2 9 3 7 9 < / S A H o s t H a s h > < G e m i n i F i e l d L i s t V i s i b l e > F a l s e < / G e m i n i F i e l d L i s t V i s i b l e > < / S e t t i n g s > ] ] > < / C u s t o m C o n t e n t > < / G e m i n i > 
</file>

<file path=customXml/item38.xml>��< ? x m l   v e r s i o n = " 1 . 0 "   e n c o d i n g = " U T F - 1 6 " ? > < G e m i n i   x m l n s = " h t t p : / / g e m i n i / p i v o t c u s t o m i z a t i o n / T a b l e X M L _ W i n t e r   d a i l y   s i t r e p s _ 1 d f 8 1 2 b b - 9 f c 3 - 4 6 7 4 - 8 d 4 1 - 6 0 c 6 7 2 6 a 8 e f 3 " > < C u s t o m C o n t e n t > & l t ; T a b l e W i d g e t G r i d S e r i a l i z a t i o n   x m l n s : x s i = " h t t p : / / w w w . w 3 . o r g / 2 0 0 1 / X M L S c h e m a - i n s t a n c e "   x m l n s : x s d = " h t t p : / / w w w . w 3 . o r g / 2 0 0 1 / X M L S c h e m a " & g t ; & l t ; C o l u m n S u g g e s t e d T y p e & g t ; & l t ; i t e m & g t ; & l t ; k e y & g t ; & l t ; s t r i n g & g t ; D a t e & l t ; / s t r i n g & g t ; & l t ; / k e y & g t ; & l t ; v a l u e & g t ; & l t ; s t r i n g & g t ; E m p t y & l t ; / s t r i n g & g t ; & l t ; / v a l u e & g t ; & l t ; / i t e m & g t ; & l t ; / C o l u m n S u g g e s t e d T y p e & g t ; & l t ; C o l u m n F o r m a t   / & g t ; & l t ; C o l u m n A c c u r a c y   / & g t ; & l t ; C o l u m n C u r r e n c y S y m b o l   / & g t ; & l t ; C o l u m n P o s i t i v e P a t t e r n   / & g t ; & l t ; C o l u m n N e g a t i v e P a t t e r n   / & g t ; & l t ; C o l u m n W i d t h s & g t ; & l t ; i t e m & g t ; & l t ; k e y & g t ; & l t ; s t r i n g & g t ; I D & l t ; / s t r i n g & g t ; & l t ; / k e y & g t ; & l t ; v a l u e & g t ; & l t ; i n t & g t ; 5 4 & l t ; / i n t & g t ; & l t ; / v a l u e & g t ; & l t ; / i t e m & g t ; & l t ; i t e m & g t ; & l t ; k e y & g t ; & l t ; s t r i n g & g t ; c r i _ i d & l t ; / s t r i n g & g t ; & l t ; / k e y & g t ; & l t ; v a l u e & g t ; & l t ; i n t & g t ; 7 5 & l t ; / i n t & g t ; & l t ; / v a l u e & g t ; & l t ; / i t e m & g t ; & l t ; i t e m & g t ; & l t ; k e y & g t ; & l t ; s t r i n g & g t ; d r _ i d & l t ; / s t r i n g & g t ; & l t ; / k e y & g t ; & l t ; v a l u e & g t ; & l t ; i n t & g t ; 7 3 & l t ; / i n t & g t ; & l t ; / v a l u e & g t ; & l t ; / i t e m & g t ; & l t ; i t e m & g t ; & l t ; k e y & g t ; & l t ; s t r i n g & g t ; o r g _ i d & l t ; / s t r i n g & g t ; & l t ; / k e y & g t ; & l t ; v a l u e & g t ; & l t ; i n t & g t ; 8 0 & l t ; / i n t & g t ; & l t ; / v a l u e & g t ; & l t ; / i t e m & g t ; & l t ; i t e m & g t ; & l t ; k e y & g t ; & l t ; s t r i n g & g t ; c r i _ d a t a p e r i o d s t a r t & l t ; / s t r i n g & g t ; & l t ; / k e y & g t ; & l t ; v a l u e & g t ; & l t ; i n t & g t ; 1 5 9 & l t ; / i n t & g t ; & l t ; / v a l u e & g t ; & l t ; / i t e m & g t ; & l t ; i t e m & g t ; & l t ; k e y & g t ; & l t ; s t r i n g & g t ; C o d e & l t ; / s t r i n g & g t ; & l t ; / k e y & g t ; & l t ; v a l u e & g t ; & l t ; i n t & g t ; 7 3 & l t ; / i n t & g t ; & l t ; / v a l u e & g t ; & l t ; / i t e m & g t ; & l t ; i t e m & g t ; & l t ; k e y & g t ; & l t ; s t r i n g & g t ; N a m e & l t ; / s t r i n g & g t ; & l t ; / k e y & g t ; & l t ; v a l u e & g t ; & l t ; i n t & g t ; 7 8 & 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B a n k   h o l i d a y & l t ; / s t r i n g & g t ; & l t ; / k e y & g t ; & l t ; v a l u e & g t ; & l t ; i n t & g t ; 1 2 0 & l t ; / i n t & g t ; & l t ; / v a l u e & g t ; & l t ; / i t e m & g t ; & l t ; i t e m & g t ; & l t ; k e y & g t ; & l t ; s t r i n g & g t ; A E   c l o s u r e s & l t ; / s t r i n g & g t ; & l t ; / k e y & g t ; & l t ; v a l u e & g t ; & l t ; i n t & g t ; 1 1 1 & l t ; / i n t & g t ; & l t ; / v a l u e & g t ; & l t ; / i t e m & g t ; & l t ; i t e m & g t ; & l t ; k e y & g t ; & l t ; s t r i n g & g t ; A E   d i v e r t s & l t ; / s t r i n g & g t ; & l t ; / k e y & g t ; & l t ; v a l u e & g t ; & l t ; i n t & g t ; 1 0 3 & l t ; / i n t & g t ; & l t ; / v a l u e & g t ; & l t ; / i t e m & g t ; & l t ; i t e m & g t ; & l t ; k e y & g t ; & l t ; s t r i n g & g t ; A E   t y p e   1   a t t e n d a n c e s & l t ; / s t r i n g & g t ; & l t ; / k e y & g t ; & l t ; v a l u e & g t ; & l t ; i n t & g t ; 1 7 7 & l t ; / i n t & g t ; & l t ; / v a l u e & g t ; & l t ; / i t e m & g t ; & l t ; i t e m & g t ; & l t ; k e y & g t ; & l t ; s t r i n g & g t ; A E   t y p e   2   a t t e n d a n c e s & l t ; / s t r i n g & g t ; & l t ; / k e y & g t ; & l t ; v a l u e & g t ; & l t ; i n t & g t ; 1 7 7 & l t ; / i n t & g t ; & l t ; / v a l u e & g t ; & l t ; / i t e m & g t ; & l t ; i t e m & g t ; & l t ; k e y & g t ; & l t ; s t r i n g & g t ; A E   t y p e   3   a t t e n d a n c e s & l t ; / s t r i n g & g t ; & l t ; / k e y & g t ; & l t ; v a l u e & g t ; & l t ; i n t & g t ; 1 7 7 & l t ; / i n t & g t ; & l t ; / v a l u e & g t ; & l t ; / i t e m & g t ; & l t ; i t e m & g t ; & l t ; k e y & g t ; & l t ; s t r i n g & g t ; A E   t o t a l   a t t e n d a n c e s & l t ; / s t r i n g & g t ; & l t ; / k e y & g t ; & l t ; v a l u e & g t ; & l t ; i n t & g t ; 1 6 8 & l t ; / i n t & g t ; & l t ; / v a l u e & g t ; & l t ; / i t e m & g t ; & l t ; i t e m & g t ; & l t ; k e y & g t ; & l t ; s t r i n g & g t ; E m e r g e n c y   a d m i s s i o n s & l t ; / s t r i n g & g t ; & l t ; / k e y & g t ; & l t ; v a l u e & g t ; & l t ; i n t & g t ; 1 8 1 & l t ; / i n t & g t ; & l t ; / v a l u e & g t ; & l t ; / i t e m & g t ; & l t ; i t e m & g t ; & l t ; k e y & g t ; & l t ; s t r i n g & g t ; G A   c o r e   b e d s   a v a i l & l t ; / s t r i n g & g t ; & l t ; / k e y & g t ; & l t ; v a l u e & g t ; & l t ; i n t & g t ; 1 5 4 & l t ; / i n t & g t ; & l t ; / v a l u e & g t ; & l t ; / i t e m & g t ; & l t ; i t e m & g t ; & l t ; k e y & g t ; & l t ; s t r i n g & g t ; G A   e s c a l a t i o n   b e d s   a v a i l & l t ; / s t r i n g & g t ; & l t ; / k e y & g t ; & l t ; v a l u e & g t ; & l t ; i n t & g t ; 1 8 9 & l t ; / i n t & g t ; & l t ; / v a l u e & g t ; & l t ; / i t e m & g t ; & l t ; i t e m & g t ; & l t ; k e y & g t ; & l t ; s t r i n g & g t ; G A   t o t a l   b e d s   a v a i l & l t ; / s t r i n g & g t ; & l t ; / k e y & g t ; & l t ; v a l u e & g t ; & l t ; i n t & g t ; 1 5 6 & l t ; / i n t & g t ; & l t ; / v a l u e & g t ; & l t ; / i t e m & g t ; & l t ; i t e m & g t ; & l t ; k e y & g t ; & l t ; s t r i n g & g t ; G A   t o t a l   b e d s   o c c u p i e d & l t ; / s t r i n g & g t ; & l t ; / k e y & g t ; & l t ; v a l u e & g t ; & l t ; i n t & g t ; 1 8 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 o c c & l t ; / s t r i n g & g t ; & l t ; / k e y & g t ; & l t ; v a l u e & g t ; & l t ; i n t & g t ; 1 4 1 & l t ; / i n t & g t ; & l t ; / v a l u e & g t ; & l t ; / i t e m & g t ; & l t ; i t e m & g t ; & l t ; k e y & g t ; & l t ; s t r i n g & g t ; O P E L   3   o r   a b o v e & l t ; / s t r i n g & g t ; & l t ; / k e y & g t ; & l t ; v a l u e & g t ; & l t ; i n t & g t ; 1 3 9 & l t ; / i n t & g t ; & l t ; / v a l u e & g t ; & l t ; / i t e m & g t ; & l t ; i t e m & g t ; & l t ; k e y & g t ; & l t ; s t r i n g & g t ; W e e k e n d & l t ; / s t r i n g & g t ; & l t ; / k e y & g t ; & l t ; v a l u e & g t ; & l t ; i n t & g t ; 1 0 0 & l t ; / i n t & g t ; & l t ; / v a l u e & g t ; & l t ; / i t e m & g t ; & l t ; i t e m & g t ; & l t ; k e y & g t ; & l t ; s t r i n g & g t ; R e g i o n & l t ; / s t r i n g & g t ; & l t ; / k e y & g t ; & l t ; v a l u e & g t ; & l t ; i n t & g t ; 8 4 & l t ; / i n t & g t ; & l t ; / v a l u e & g t ; & l t ; / i t e m & g t ; & l t ; i t e m & g t ; & l t ; k e y & g t ; & l t ; s t r i n g & g t ; Y e a r & l t ; / s t r i n g & g t ; & l t ; / k e y & g t ; & l t ; v a l u e & g t ; & l t ; i n t & g t ; 6 7 & l t ; / i n t & g t ; & l t ; / v a l u e & g t ; & l t ; / i t e m & g t ; & l t ; i t e m & g t ; & l t ; k e y & g t ; & l t ; s t r i n g & g t ; B e d s   o c c   o v e r   7   d a y s & l t ; / s t r i n g & g t ; & l t ; / k e y & g t ; & l t ; v a l u e & g t ; & l t ; i n t & g t ; 1 6 6 & l t ; / i n t & g t ; & l t ; / v a l u e & g t ; & l t ; / i t e m & g t ; & l t ; i t e m & g t ; & l t ; k e y & g t ; & l t ; s t r i n g & g t ; B e d s   o c c   o v e r   2 1   d a y s & l t ; / s t r i n g & g t ; & l t ; / k e y & g t ; & l t ; v a l u e & g t ; & l t ; i n t & g t ; 1 7 3 & l t ; / i n t & g t ; & l t ; / v a l u e & g t ; & l t ; / i t e m & g t ; & l t ; i t e m & g t ; & l t ; k e y & g t ; & l t ; s t r i n g & g t ; A m b 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 m i n s & l t ; / s t r i n g & g t ; & l t ; / k e y & g t ; & l t ; v a l u e & g t ; & l t ; i n t & g t ; 1 9 4 & l t ; / i n t & g t ; & l t ; / v a l u e & g t ; & l t ; / i t e m & g t ; & l t ; i t e m & g t ; & l t ; k e y & g t ; & l t ; s t r i n g & g t ; W e e k   l o n g & l t ; / s t r i n g & g t ; & l t ; / k e y & g t ; & l t ; v a l u e & g t ; & l t ; i n t & g t ; 1 6 1 & l t ; / i n t & g t ; & l t ; / v a l u e & g t ; & l t ; / i t e m & g t ; & l t ; i t e m & g t ; & l t ; k e y & g t ; & l t ; s t r i n g & g t ; G A   b e d   o c c u p a n c y & l t ; / s t r i n g & g t ; & l t ; / k e y & g t ; & l t ; v a l u e & g t ; & l t ; i n t & g t ; 1 6 1 & l t ; / i n t & g t ; & l t ; / v a l u e & g t ; & l t ; / i t e m & g t ; & l t ; i t e m & g t ; & l t ; k e y & g t ; & l t ; s t r i n g & g t ; B e d s   o c c   o v e r   1 4   d a y s & l t ; / s t r i n g & g t ; & l t ; / k e y & g t ; & l t ; v a l u e & g t ; & l t ; i n t & g t ; 1 7 3 & l t ; / i n t & g t ; & l t ; / v a l u e & g t ; & l t ; / i t e m & g t ; & l t ; / C o l u m n W i d t h s & g t ; & l t ; C o l u m n D i s p l a y I n d e x & g t ; & l t ; i t e m & g t ; & l t ; k e y & g t ; & l t ; s t r i n g & g t ; I D & l t ; / s t r i n g & g t ; & l t ; / k e y & g t ; & l t ; v a l u e & g t ; & l t ; i n t & g t ; 0 & l t ; / i n t & g t ; & l t ; / v a l u e & g t ; & l t ; / i t e m & g t ; & l t ; i t e m & g t ; & l t ; k e y & g t ; & l t ; s t r i n g & g t ; c r i _ i d & l t ; / s t r i n g & g t ; & l t ; / k e y & g t ; & l t ; v a l u e & g t ; & l t ; i n t & g t ; 1 & l t ; / i n t & g t ; & l t ; / v a l u e & g t ; & l t ; / i t e m & g t ; & l t ; i t e m & g t ; & l t ; k e y & g t ; & l t ; s t r i n g & g t ; d r _ i d & l t ; / s t r i n g & g t ; & l t ; / k e y & g t ; & l t ; v a l u e & g t ; & l t ; i n t & g t ; 2 & l t ; / i n t & g t ; & l t ; / v a l u e & g t ; & l t ; / i t e m & g t ; & l t ; i t e m & g t ; & l t ; k e y & g t ; & l t ; s t r i n g & g t ; o r g _ i d & l t ; / s t r i n g & g t ; & l t ; / k e y & g t ; & l t ; v a l u e & g t ; & l t ; i n t & g t ; 3 & l t ; / i n t & g t ; & l t ; / v a l u e & g t ; & l t ; / i t e m & g t ; & l t ; i t e m & g t ; & l t ; k e y & g t ; & l t ; s t r i n g & g t ; c r i _ d a t a p e r i o d s t a r t & l t ; / s t r i n g & g t ; & l t ; / k e y & g t ; & l t ; v a l u e & g t ; & l t ; i n t & g t ; 4 & l t ; / i n t & g t ; & l t ; / v a l u e & g t ; & l t ; / i t e m & g t ; & l t ; i t e m & g t ; & l t ; k e y & g t ; & l t ; s t r i n g & g t ; C o d e & l t ; / s t r i n g & g t ; & l t ; / k e y & g t ; & l t ; v a l u e & g t ; & l t ; i n t & g t ; 5 & l t ; / i n t & g t ; & l t ; / v a l u e & g t ; & l t ; / i t e m & g t ; & l t ; i t e m & g t ; & l t ; k e y & g t ; & l t ; s t r i n g & g t ; N a m e & l t ; / s t r i n g & g t ; & l t ; / k e y & g t ; & l t ; v a l u e & g t ; & l t ; i n t & g t ; 6 & l t ; / i n t & g t ; & l t ; / v a l u e & g t ; & l t ; / i t e m & g t ; & l t ; i t e m & g t ; & l t ; k e y & g t ; & l t ; s t r i n g & g t ; D a t e & l t ; / s t r i n g & g t ; & l t ; / k e y & g t ; & l t ; v a l u e & g t ; & l t ; i n t & g t ; 7 & l t ; / i n t & g t ; & l t ; / v a l u e & g t ; & l t ; / i t e m & g t ; & l t ; i t e m & g t ; & l t ; k e y & g t ; & l t ; s t r i n g & g t ; W e e k & l t ; / s t r i n g & g t ; & l t ; / k e y & g t ; & l t ; v a l u e & g t ; & l t ; i n t & g t ; 8 & l t ; / i n t & g t ; & l t ; / v a l u e & g t ; & l t ; / i t e m & g t ; & l t ; i t e m & g t ; & l t ; k e y & g t ; & l t ; s t r i n g & g t ; D a y & l t ; / s t r i n g & g t ; & l t ; / k e y & g t ; & l t ; v a l u e & g t ; & l t ; i n t & g t ; 1 0 & l t ; / i n t & g t ; & l t ; / v a l u e & g t ; & l t ; / i t e m & g t ; & l t ; i t e m & g t ; & l t ; k e y & g t ; & l t ; s t r i n g & g t ; B a n k   h o l i d a y & l t ; / s t r i n g & g t ; & l t ; / k e y & g t ; & l t ; v a l u e & g t ; & l t ; i n t & g t ; 1 1 & l t ; / i n t & g t ; & l t ; / v a l u e & g t ; & l t ; / i t e m & g t ; & l t ; i t e m & g t ; & l t ; k e y & g t ; & l t ; s t r i n g & g t ; A E   c l o s u r e s & l t ; / s t r i n g & g t ; & l t ; / k e y & g t ; & l t ; v a l u e & g t ; & l t ; i n t & g t ; 1 2 & l t ; / i n t & g t ; & l t ; / v a l u e & g t ; & l t ; / i t e m & g t ; & l t ; i t e m & g t ; & l t ; k e y & g t ; & l t ; s t r i n g & g t ; A E   d i v e r t s & l t ; / s t r i n g & g t ; & l t ; / k e y & g t ; & l t ; v a l u e & g t ; & l t ; i n t & g t ; 1 3 & l t ; / i n t & g t ; & l t ; / v a l u e & g t ; & l t ; / i t e m & g t ; & l t ; i t e m & g t ; & l t ; k e y & g t ; & l t ; s t r i n g & g t ; A E   t y p e   1   a t t e n d a n c e s & l t ; / s t r i n g & g t ; & l t ; / k e y & g t ; & l t ; v a l u e & g t ; & l t ; i n t & g t ; 1 4 & l t ; / i n t & g t ; & l t ; / v a l u e & g t ; & l t ; / i t e m & g t ; & l t ; i t e m & g t ; & l t ; k e y & g t ; & l t ; s t r i n g & g t ; A E   t y p e   2   a t t e n d a n c e s & l t ; / s t r i n g & g t ; & l t ; / k e y & g t ; & l t ; v a l u e & g t ; & l t ; i n t & g t ; 1 5 & l t ; / i n t & g t ; & l t ; / v a l u e & g t ; & l t ; / i t e m & g t ; & l t ; i t e m & g t ; & l t ; k e y & g t ; & l t ; s t r i n g & g t ; A E   t y p e   3   a t t e n d a n c e s & l t ; / s t r i n g & g t ; & l t ; / k e y & g t ; & l t ; v a l u e & g t ; & l t ; i n t & g t ; 1 6 & l t ; / i n t & g t ; & l t ; / v a l u e & g t ; & l t ; / i t e m & g t ; & l t ; i t e m & g t ; & l t ; k e y & g t ; & l t ; s t r i n g & g t ; A E   t o t a l   a t t e n d a n c e s & l t ; / s t r i n g & g t ; & l t ; / k e y & g t ; & l t ; v a l u e & g t ; & l t ; i n t & g t ; 1 7 & l t ; / i n t & g t ; & l t ; / v a l u e & g t ; & l t ; / i t e m & g t ; & l t ; i t e m & g t ; & l t ; k e y & g t ; & l t ; s t r i n g & g t ; E m e r g e n c y   a d m i s s i o n s & l t ; / s t r i n g & g t ; & l t ; / k e y & g t ; & l t ; v a l u e & g t ; & l t ; i n t & g t ; 1 8 & l t ; / i n t & g t ; & l t ; / v a l u e & g t ; & l t ; / i t e m & g t ; & l t ; i t e m & g t ; & l t ; k e y & g t ; & l t ; s t r i n g & g t ; G A   c o r e   b e d s   a v a i l & l t ; / s t r i n g & g t ; & l t ; / k e y & g t ; & l t ; v a l u e & g t ; & l t ; i n t & g t ; 1 9 & l t ; / i n t & g t ; & l t ; / v a l u e & g t ; & l t ; / i t e m & g t ; & l t ; i t e m & g t ; & l t ; k e y & g t ; & l t ; s t r i n g & g t ; G A   e s c a l a t i o n   b e d s   a v a i l & l t ; / s t r i n g & g t ; & l t ; / k e y & g t ; & l t ; v a l u e & g t ; & l t ; i n t & g t ; 2 0 & l t ; / i n t & g t ; & l t ; / v a l u e & g t ; & l t ; / i t e m & g t ; & l t ; i t e m & g t ; & l t ; k e y & g t ; & l t ; s t r i n g & g t ; G A   t o t a l   b e d s   a v a i l & l t ; / s t r i n g & g t ; & l t ; / k e y & g t ; & l t ; v a l u e & g t ; & l t ; i n t & g t ; 2 1 & l t ; / i n t & g t ; & l t ; / v a l u e & g t ; & l t ; / i t e m & g t ; & l t ; i t e m & g t ; & l t ; k e y & g t ; & l t ; s t r i n g & g t ; G A   t o t a l   b e d s   o c c u p i e d & l t ; / s t r i n g & g t ; & l t ; / k e y & g t ; & l t ; v a l u e & g t ; & l t ; i n t & g t ; 2 2 & l t ; / i n t & g t ; & l t ; / v a l u e & g t ; & l t ; / i t e m & g t ; & l t ; i t e m & g t ; & l t ; k e y & g t ; & l t ; s t r i n g & g t ; B e d s   c l o s e d   n o r o v i r u s & l t ; / s t r i n g & g t ; & l t ; / k e y & g t ; & l t ; v a l u e & g t ; & l t ; i n t & g t ; 2 4 & l t ; / i n t & g t ; & l t ; / v a l u e & g t ; & l t ; / i t e m & g t ; & l t ; i t e m & g t ; & l t ; k e y & g t ; & l t ; s t r i n g & g t ; B e d s   c l o s e d   n o r o v i u s   u n o c c & l t ; / s t r i n g & g t ; & l t ; / k e y & g t ; & l t ; v a l u e & g t ; & l t ; i n t & g t ; 2 5 & l t ; / i n t & g t ; & l t ; / v a l u e & g t ; & l t ; / i t e m & g t ; & l t ; i t e m & g t ; & l t ; k e y & g t ; & l t ; s t r i n g & g t ; A d u l t   C C   b e d s   a v a i l & l t ; / s t r i n g & g t ; & l t ; / k e y & g t ; & l t ; v a l u e & g t ; & l t ; i n t & g t ; 2 6 & l t ; / i n t & g t ; & l t ; / v a l u e & g t ; & l t ; / i t e m & g t ; & l t ; i t e m & g t ; & l t ; k e y & g t ; & l t ; s t r i n g & g t ; A d u l t   C C   b e d s   o c c & l t ; / s t r i n g & g t ; & l t ; / k e y & g t ; & l t ; v a l u e & g t ; & l t ; i n t & g t ; 2 7 & l t ; / i n t & g t ; & l t ; / v a l u e & g t ; & l t ; / i t e m & g t ; & l t ; i t e m & g t ; & l t ; k e y & g t ; & l t ; s t r i n g & g t ; P a e d   I n t   C a r e   A v a i l & l t ; / s t r i n g & g t ; & l t ; / k e y & g t ; & l t ; v a l u e & g t ; & l t ; i n t & g t ; 2 8 & l t ; / i n t & g t ; & l t ; / v a l u e & g t ; & l t ; / i t e m & g t ; & l t ; i t e m & g t ; & l t ; k e y & g t ; & l t ; s t r i n g & g t ; P a e d   I n t   C a r e   O c c & l t ; / s t r i n g & g t ; & l t ; / k e y & g t ; & l t ; v a l u e & g t ; & l t ; i n t & g t ; 2 9 & l t ; / i n t & g t ; & l t ; / v a l u e & g t ; & l t ; / i t e m & g t ; & l t ; i t e m & g t ; & l t ; k e y & g t ; & l t ; s t r i n g & g t ; N e o   I n t   C a r e   A v a i l & l t ; / s t r i n g & g t ; & l t ; / k e y & g t ; & l t ; v a l u e & g t ; & l t ; i n t & g t ; 3 0 & l t ; / i n t & g t ; & l t ; / v a l u e & g t ; & l t ; / i t e m & g t ; & l t ; i t e m & g t ; & l t ; k e y & g t ; & l t ; s t r i n g & g t ; N e o   I n t   C a r e   o c c & l t ; / s t r i n g & g t ; & l t ; / k e y & g t ; & l t ; v a l u e & g t ; & l t ; i n t & g t ; 3 1 & l t ; / i n t & g t ; & l t ; / v a l u e & g t ; & l t ; / i t e m & g t ; & l t ; i t e m & g t ; & l t ; k e y & g t ; & l t ; s t r i n g & g t ; O P E L   3   o r   a b o v e & l t ; / s t r i n g & g t ; & l t ; / k e y & g t ; & l t ; v a l u e & g t ; & l t ; i n t & g t ; 3 2 & l t ; / i n t & g t ; & l t ; / v a l u e & g t ; & l t ; / i t e m & g t ; & l t ; i t e m & g t ; & l t ; k e y & g t ; & l t ; s t r i n g & g t ; W e e k e n d & l t ; / s t r i n g & g t ; & l t ; / k e y & g t ; & l t ; v a l u e & g t ; & l t ; i n t & g t ; 3 3 & l t ; / i n t & g t ; & l t ; / v a l u e & g t ; & l t ; / i t e m & g t ; & l t ; i t e m & g t ; & l t ; k e y & g t ; & l t ; s t r i n g & g t ; R e g i o n & l t ; / s t r i n g & g t ; & l t ; / k e y & g t ; & l t ; v a l u e & g t ; & l t ; i n t & g t ; 3 4 & l t ; / i n t & g t ; & l t ; / v a l u e & g t ; & l t ; / i t e m & g t ; & l t ; i t e m & g t ; & l t ; k e y & g t ; & l t ; s t r i n g & g t ; Y e a r & l t ; / s t r i n g & g t ; & l t ; / k e y & g t ; & l t ; v a l u e & g t ; & l t ; i n t & g t ; 3 5 & l t ; / i n t & g t ; & l t ; / v a l u e & g t ; & l t ; / i t e m & g t ; & l t ; i t e m & g t ; & l t ; k e y & g t ; & l t ; s t r i n g & g t ; B e d s   o c c   o v e r   7   d a y s & l t ; / s t r i n g & g t ; & l t ; / k e y & g t ; & l t ; v a l u e & g t ; & l t ; i n t & g t ; 3 6 & l t ; / i n t & g t ; & l t ; / v a l u e & g t ; & l t ; / i t e m & g t ; & l t ; i t e m & g t ; & l t ; k e y & g t ; & l t ; s t r i n g & g t ; B e d s   o c c   o v e r   2 1   d a y s & l t ; / s t r i n g & g t ; & l t ; / k e y & g t ; & l t ; v a l u e & g t ; & l t ; i n t & g t ; 3 7 & l t ; / i n t & g t ; & l t ; / v a l u e & g t ; & l t ; / i t e m & g t ; & l t ; i t e m & g t ; & l t ; k e y & g t ; & l t ; s t r i n g & g t ; A m b   a r r i v a l s & l t ; / s t r i n g & g t ; & l t ; / k e y & g t ; & l t ; v a l u e & g t ; & l t ; i n t & g t ; 3 8 & l t ; / i n t & g t ; & l t ; / v a l u e & g t ; & l t ; / i t e m & g t ; & l t ; i t e m & g t ; & l t ; k e y & g t ; & l t ; s t r i n g & g t ; A m b   d e l a y s   3 0 - 6 0   m i n s & l t ; / s t r i n g & g t ; & l t ; / k e y & g t ; & l t ; v a l u e & g t ; & l t ; i n t & g t ; 3 9 & l t ; / i n t & g t ; & l t ; / v a l u e & g t ; & l t ; / i t e m & g t ; & l t ; i t e m & g t ; & l t ; k e y & g t ; & l t ; s t r i n g & g t ; A m b   d e l a y s   o v e r   6 0   m i n s & l t ; / s t r i n g & g t ; & l t ; / k e y & g t ; & l t ; v a l u e & g t ; & l t ; i n t & g t ; 4 0 & l t ; / i n t & g t ; & l t ; / v a l u e & g t ; & l t ; / i t e m & g t ; & l t ; i t e m & g t ; & l t ; k e y & g t ; & l t ; s t r i n g & g t ; W e e k   l o n g & l t ; / s t r i n g & g t ; & l t ; / k e y & g t ; & l t ; v a l u e & g t ; & l t ; i n t & g t ; 9 & l t ; / i n t & g t ; & l t ; / v a l u e & g t ; & l t ; / i t e m & g t ; & l t ; i t e m & g t ; & l t ; k e y & g t ; & l t ; s t r i n g & g t ; G A   b e d   o c c u p a n c y & l t ; / s t r i n g & g t ; & l t ; / k e y & g t ; & l t ; v a l u e & g t ; & l t ; i n t & g t ; 2 3 & l t ; / i n t & g t ; & l t ; / v a l u e & g t ; & l t ; / i t e m & g t ; & l t ; i t e m & g t ; & l t ; k e y & g t ; & l t ; s t r i n g & g t ; B e d s   o c c   o v e r   1 4   d a y s & l t ; / s t r i n g & g t ; & l t ; / k e y & g t ; & l t ; v a l u e & g t ; & l t ; i n t & g t ; 4 1 & l t ; / i n t & g t ; & l t ; / v a l u e & g t ; & l t ; / i t e m & g t ; & l t ; / C o l u m n D i s p l a y I n d e x & g t ; & l t ; C o l u m n F r o z e n   / & g t ; & l t ; C o l u m n C h e c k e d   / & g t ; & l t ; C o l u m n F i l t e r   / & g t ; & l t ; S e l e c t i o n F i l t e r   / & g t ; & l t ; F i l t e r P a r a m e t e r s   / & g t ; & l t ; S o r t B y C o l u m n   / & g t ; & l t ; I s S o r t D e s c e n d i n g & g t ; f a l s e & l t ; / I s S o r t D e s c e n d i n g & g t ; & l t ; / T a b l e W i d g e t G r i d S e r i a l i z a t i o n & g t ; < / C u s t o m C o n t e n t > < / G e m i n i > 
</file>

<file path=customXml/item39.xml>��< ? x m l   v e r s i o n = " 1 . 0 "   e n c o d i n g = " U T F - 1 6 " ? > < G e m i n i   x m l n s = " h t t p : / / g e m i n i / p i v o t c u s t o m i z a t i o n / 9 e e 8 7 0 5 f - 7 4 2 d - 4 3 e 2 - b 9 a d - e 7 b 8 f 3 1 3 e 3 7 6 " > < C u s t o m C o n t e n t > < ! [ C D A T A [ < ? x m l   v e r s i o n = " 1 . 0 "   e n c o d i n g = " u t f - 1 6 " ? > < S e t t i n g s > < H S l i c e r s S h a p e > 0 ; 0 ; 0 ; 0 < / H S l i c e r s S h a p e > < V S l i c e r s S h a p e > 0 ; 0 ; 0 ; 0 < / V S l i c e r s S h a p e > < S l i c e r S h e e t N a m e > G & a m p ; A   b e d   o c c . < / S l i c e r S h e e t N a m e > < S A H o s t H a s h > 1 2 1 3 6 9 3 0 9 6 < / S A H o s t H a s h > < G e m i n i F i e l d L i s t V i s i b l e > F a l s e < / G e m i n i F i e l d L i s t V i s i b l e > < / S e t t i n g s > ] ] > < / C u s t o m C o n t e n t > < / G e m i n i > 
</file>

<file path=customXml/item4.xml>��< ? x m l   v e r s i o n = " 1 . 0 "   e n c o d i n g = " U T F - 1 6 " ? > < G e m i n i   x m l n s = " h t t p : / / g e m i n i / p i v o t c u s t o m i z a t i o n / 9 d 0 6 c d 8 0 - 1 8 a b - 4 9 7 0 - a a b 5 - c 7 e c a 7 1 e b 3 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 7 4 9 9 2 4 5 3 0 < / S A H o s t H a s h > < G e m i n i F i e l d L i s t V i s i b l e > F a l s e < / G e m i n i F i e l d L i s t V i s i b l e > < / S e t t i n g s > ] ] > < / C u s t o m C o n t e n t > < / G e m i n i > 
</file>

<file path=customXml/item40.xml>��< ? x m l   v e r s i o n = " 1 . 0 "   e n c o d i n g = " U T F - 1 6 " ? > < G e m i n i   x m l n s = " h t t p : / / g e m i n i / p i v o t c u s t o m i z a t i o n / T a b l e X M L _ T a b l e " > < C u s t o m C o n t e n t > < ! [ C D A T A [ < T a b l e W i d g e t G r i d S e r i a l i z a t i o n   x m l n s : x s i = " h t t p : / / w w w . w 3 . o r g / 2 0 0 1 / X M L S c h e m a - i n s t a n c e "   x m l n s : x s d = " h t t p : / / w w w . w 3 . o r g / 2 0 0 1 / X M L S c h e m a " > < C o l u m n S u g g e s t e d T y p e > < i t e m > < k e y > < s t r i n g > 1 9 4 < / s t r i n g > < / k e y > < v a l u e > < s t r i n g > B i g I n t < / s t r i n g > < / v a l u e > < / i t e m > < / C o l u m n S u g g e s t e d T y p e > < C o l u m n F o r m a t   / > < C o l u m n A c c u r a c y   / > < C o l u m n C u r r e n c y S y m b o l   / > < C o l u m n P o s i t i v e P a t t e r n   / > < C o l u m n N e g a t i v e P a t t e r n   / > < C o l u m n W i d t h s > < i t e m > < k e y > < s t r i n g > 1 9 4 < / s t r i n g > < / k e y > < v a l u e > < i n t > - 1 < / i n t > < / v a l u e > < / i t e m > < / C o l u m n W i d t h s > < C o l u m n D i s p l a y I n d e x   / > < C o l u m n F r o z e n   / > < C o l u m n C h e c k e d   / > < C o l u m n F i l t e r   / > < S e l e c t i o n F i l t e r   / > < F i l t e r P a r a m e t e r s   / > < I s S o r t D e s c e n d i n g > f a l s e < / I s S o r t D e s c e n d i n g > < / T a b l e W i d g e t G r i d S e r i a l i z a t i o n > ] ] > < / C u s t o m C o n t e n t > < / G e m i n i > 
</file>

<file path=customXml/item41.xml>��< ? x m l   v e r s i o n = " 1 . 0 "   e n c o d i n g = " U T F - 1 6 " ? > < G e m i n i   x m l n s = " h t t p : / / g e m i n i / p i v o t c u s t o m i z a t i o n / f 1 c 6 0 2 a d - 3 3 3 d - 4 d 3 a - b 1 c c - e e 3 0 1 9 4 1 3 7 6 f " > < C u s t o m C o n t e n t > < ! [ C D A T A [ < ? x m l   v e r s i o n = " 1 . 0 "   e n c o d i n g = " u t f - 1 6 " ? > < S e t t i n g s > < H S l i c e r s S h a p e > 0 ; 0 ; 0 ; 0 < / H S l i c e r s S h a p e > < V S l i c e r s S h a p e > 0 ; 0 ; 0 ; 0 < / V S l i c e r s S h a p e > < S l i c e r S h e e t N a m e > S h e e t 3 < / S l i c e r S h e e t N a m e > < S A H o s t H a s h > 6 6 3 1 4 7 3 8 0 < / S A H o s t H a s h > < G e m i n i F i e l d L i s t V i s i b l e > T r u e < / G e m i n i F i e l d L i s t V i s i b l e > < / S e t t i n g s > ] ] > < / C u s t o m C o n t e n t > < / G e m i n i > 
</file>

<file path=customXml/item42.xml>��< ? x m l   v e r s i o n = " 1 . 0 "   e n c o d i n g = " U T F - 1 6 " ? > < G e m i n i   x m l n s = " h t t p : / / g e m i n i / p i v o t c u s t o m i z a t i o n / 7 5 1 0 8 4 2 0 - 6 8 4 c - 4 0 3 6 - b d f e - d f d 1 f 9 7 3 e 4 7 b " > < C u s t o m C o n t e n t > < ! [ C D A T A [ < ? x m l   v e r s i o n = " 1 . 0 "   e n c o d i n g = " u t f - 1 6 " ? > < S e t t i n g s > < C a l c u l a t e d F i e l d s > < i t e m > < M e a s u r e N a m e > A v e r a g e   o f   G A   b e d   o c c u p a n c y < / M e a s u r e N a m e > < D i s p l a y N a m e > A v e r a g e   o f   G A   b e d   o c c u p a n c y < / D i s p l a y N a m e > < V i s i b l e > T r u e < / V i s i b l e > < / i t e m > < / C a l c u l a t e d F i e l d s > < H S l i c e r s S h a p e > 0 ; 0 ; 0 ; 0 < / H S l i c e r s S h a p e > < V S l i c e r s S h a p e > 0 ; 0 ; 0 ; 0 < / V S l i c e r s S h a p e > < S l i c e r S h e e t N a m e > G & a m p ; A   b e d   o c c . < / S l i c e r S h e e t N a m e > < S A H o s t H a s h > 2 4 0 0 9 1 3 1 < / S A H o s t H a s h > < G e m i n i F i e l d L i s t V i s i b l e > F a l s e < / G e m i n i F i e l d L i s t V i s i b l e > < / S e t t i n g s > ] ] > < / C u s t o m C o n t e n t > < / G e m i n i > 
</file>

<file path=customXml/item43.xml>��< ? x m l   v e r s i o n = " 1 . 0 "   e n c o d i n g = " U T F - 1 6 " ? > < G e m i n i   x m l n s = " h t t p : / / g e m i n i / p i v o t c u s t o m i z a t i o n / f 7 3 5 e 7 c 4 - c 9 1 7 - 4 7 7 e - b 7 1 c - 9 7 e 3 7 3 0 8 f 1 6 d " > < 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 1 2 8 9 6 8 7 8 6 8 < / S A H o s t H a s h > < G e m i n i F i e l d L i s t V i s i b l e > T r u e < / G e m i n i F i e l d L i s t V i s i b l e > < / S e t t i n g s > ] ] > < / C u s t o m C o n t e n t > < / G e m i n i > 
</file>

<file path=customXml/item44.xml>��< ? x m l   v e r s i o n = " 1 . 0 "   e n c o d i n g = " U T F - 1 6 " ? > < G e m i n i   x m l n s = " h t t p : / / g e m i n i / p i v o t c u s t o m i z a t i o n / 7 0 9 0 7 d c b - 9 d b 8 - 4 6 1 7 - 8 7 8 4 - 4 3 e 1 8 3 8 5 9 5 3 c " > < 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 7 4 9 9 2 4 5 3 0 < / S A H o s t H a s h > < G e m i n i F i e l d L i s t V i s i b l e > T r u e < / G e m i n i F i e l d L i s t V i s i b l e > < / S e t t i n g s > ] ] > < / C u s t o m C o n t e n t > < / G e m i n i > 
</file>

<file path=customXml/item45.xml>��< ? x m l   v e r s i o n = " 1 . 0 "   e n c o d i n g = " U T F - 1 6 " ? > < G e m i n i   x m l n s = " h t t p : / / g e m i n i / p i v o t c u s t o m i z a t i o n / d 5 e e 9 b e f - 4 b b 4 - 4 a f f - b 8 f 7 - 1 1 6 d 3 b e 6 0 2 b 7 " > < C u s t o m C o n t e n t > < ! [ C D A T A [ < ? x m l   v e r s i o n = " 1 . 0 "   e n c o d i n g = " u t f - 1 6 " ? > < S e t t i n g s > < H S l i c e r s S h a p e > 0 ; 0 ; 0 ; 0 < / H S l i c e r s S h a p e > < V S l i c e r s S h a p e > 0 ; 0 ; 0 ; 0 < / V S l i c e r s S h a p e > < S l i c e r S h e e t N a m e > L o n g   s t a y < / S l i c e r S h e e t N a m e > < S A H o s t H a s h > 2 1 0 6 5 3 1 7 5 7 < / S A H o s t H a s h > < G e m i n i F i e l d L i s t V i s i b l e > F a l s e < / G e m i n i F i e l d L i s t V i s i b l e > < / S e t t i n g s > ] ] > < / C u s t o m C o n t e n t > < / G e m i n i > 
</file>

<file path=customXml/item46.xml>��< ? x m l   v e r s i o n = " 1 . 0 "   e n c o d i n g = " U T F - 1 6 " ? > < G e m i n i   x m l n s = " h t t p : / / g e m i n i / p i v o t c u s t o m i z a t i o n / a d f c 4 4 0 e - 7 8 6 6 - 4 9 5 3 - b b 1 b - e b 5 8 1 3 3 3 b e 6 3 " > < C u s t o m C o n t e n t > < ! [ C D A T A [ < ? x m l   v e r s i o n = " 1 . 0 "   e n c o d i n g = " u t f - 1 6 " ? > < S e t t i n g s > < C a l c u l a t e d F i e l d s > < i t e m > < M e a s u r e N a m e > S u m   o f   B e d s   o c c   o v e r   1 4   d a y s < / M e a s u r e N a m e > < D i s p l a y N a m e > S u m   o f   B e d s   o c c   o v e r   1 4   d a y s < / D i s p l a y N a m e > < V i s i b l e > T r u e < / V i s i b l e > < / i t e m > < / C a l c u l a t e d F i e l d s > < H S l i c e r s S h a p e > 0 ; 0 ; 0 ; 0 < / H S l i c e r s S h a p e > < V S l i c e r s S h a p e > 0 ; 0 ; 0 ; 0 < / V S l i c e r s S h a p e > < S l i c e r S h e e t N a m e > L o n g   s t a y < / S l i c e r S h e e t N a m e > < S A H o s t H a s h > 6 2 9 2 9 1 1 3 3 < / S A H o s t H a s h > < G e m i n i F i e l d L i s t V i s i b l e > F a l s e < / G e m i n i F i e l d L i s t V i s i b l e > < / S e t t i n g s > ] ] > < / C u s t o m C o n t e n t > < / G e m i n i > 
</file>

<file path=customXml/item47.xml>��< ? x m l   v e r s i o n = " 1 . 0 "   e n c o d i n g = " U T F - 1 6 " ? > < G e m i n i   x m l n s = " h t t p : / / g e m i n i / p i v o t c u s t o m i z a t i o n / 3 3 6 8 9 7 8 5 - b 6 5 f - 4 d 0 9 - 8 f 6 9 - 7 0 3 8 3 e f 1 8 8 d 2 " > < 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 1 7 4 5 2 4 5 8 0 8 < / S A H o s t H a s h > < G e m i n i F i e l d L i s t V i s i b l e > T r u e < / G e m i n i F i e l d L i s t V i s i b l e > < / S e t t i n g s > ] ] > < / C u s t o m C o n t e n t > < / G e m i n i > 
</file>

<file path=customXml/item48.xml>��< ? x m l   v e r s i o n = " 1 . 0 "   e n c o d i n g = " U T F - 1 6 " ? > < G e m i n i   x m l n s = " h t t p : / / g e m i n i / w o r k b o o k c u s t o m i z a t i o n / R e l a t i o n s h i p D e t e c t i o n N e e d e d D i c t i o n a r y " > < C u s t o m C o n t e n t > < ! [ C D A T A [ < D i c t i o n a r y   / > ] ] > < / C u s t o m C o n t e n t > < / G e m i n i > 
</file>

<file path=customXml/item49.xml>��< ? x m l   v e r s i o n = " 1 . 0 "   e n c o d i n g = " U T F - 1 6 " ? > < G e m i n i   x m l n s = " h t t p : / / g e m i n i / p i v o t c u s t o m i z a t i o n / c 1 f a 9 d 3 7 - c a f a - 4 c 6 c - b d 2 9 - 4 5 5 c c 7 c e a 9 b 3 " > < 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 1 3 6 4 0 5 8 0 6 < / S A H o s t H a s h > < G e m i n i F i e l d L i s t V i s i b l e > F a l s e < / G e m i n i F i e l d L i s t V i s i b l e > < / S e t t i n g s > ] ] > < / C u s t o m C o n t e n t > < / G e m i n i > 
</file>

<file path=customXml/item5.xml>��< ? x m l   v e r s i o n = " 1 . 0 "   e n c o d i n g = " U T F - 1 6 " ? > < G e m i n i   x m l n s = " h t t p : / / g e m i n i / p i v o t c u s t o m i z a t i o n / a 1 b 5 b d 0 c - f 0 f f - 4 3 a 7 - a 4 2 c - 2 4 b b f 7 1 d c 7 e a " > < 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 9 8 4 2 1 3 5 2 5 < / S A H o s t H a s h > < G e m i n i F i e l d L i s t V i s i b l e > T r u e < / G e m i n i F i e l d L i s t V i s i b l e > < / S e t t i n g s > ] ] > < / C u s t o m C o n t e n t > < / G e m i n i > 
</file>

<file path=customXml/item50.xml>��< ? x m l   v e r s i o n = " 1 . 0 "   e n c o d i n g = " U T F - 1 6 " ? > < G e m i n i   x m l n s = " h t t p : / / g e m i n i / p i v o t c u s t o m i z a t i o n / e 4 c 6 a 3 1 b - 3 4 7 2 - 4 b 1 b - a 7 6 c - e a e 1 d 3 5 7 c 6 b c " > < C u s t o m C o n t e n t > < ! [ C D A T A [ < ? x m l   v e r s i o n = " 1 . 0 "   e n c o d i n g = " u t f - 1 6 " ? > < S e t t i n g s > < C a l c u l a t e d F i e l d s > < i t e m > < M e a s u r e N a m e > S u m   o f   B e d s   o c c   o v e r   1 4   d a y s   2 < / M e a s u r e N a m e > < D i s p l a y N a m e > S u m   o f   B e d s   o c c   o v e r   1 4   d a y s   2 < / D i s p l a y N a m e > < V i s i b l e > T r u e < / V i s i b l e > < / i t e m > < / C a l c u l a t e d F i e l d s > < H S l i c e r s S h a p e > 0 ; 0 ; 0 ; 0 < / H S l i c e r s S h a p e > < V S l i c e r s S h a p e > 0 ; 0 ; 0 ; 0 < / V S l i c e r s S h a p e > < S l i c e r S h e e t N a m e > S h e e t 4 < / S l i c e r S h e e t N a m e > < S A H o s t H a s h > 1 2 5 6 9 5 6 3 5 < / S A H o s t H a s h > < G e m i n i F i e l d L i s t V i s i b l e > F a l s e < / G e m i n i F i e l d L i s t V i s i b l e > < / S e t t i n g s > ] ] > < / C u s t o m C o n t e n t > < / G e m i n i > 
</file>

<file path=customXml/item51.xml>��< ? x m l   v e r s i o n = " 1 . 0 "   e n c o d i n g = " U T F - 1 6 " ? > < G e m i n i   x m l n s = " h t t p : / / g e m i n i / p i v o t c u s t o m i z a t i o n / 9 7 b 7 7 5 4 3 - 1 b 1 d - 4 3 2 f - 8 c 1 2 - 8 6 d 5 d 6 1 2 6 7 b 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 3 2 3 6 7 7 5 6 0 < / S A H o s t H a s h > < G e m i n i F i e l d L i s t V i s i b l e > T r u e < / G e m i n i F i e l d L i s t V i s i b l e > < / S e t t i n g s > ] ] > < / C u s t o m C o n t e n t > < / G e m i n i > 
</file>

<file path=customXml/item52.xml>��< ? x m l   v e r s i o n = " 1 . 0 "   e n c o d i n g = " U T F - 1 6 " ? > < G e m i n i   x m l n s = " h t t p : / / g e m i n i / p i v o t c u s t o m i z a t i o n / f b 0 6 9 d 2 9 - b 4 8 8 - 4 4 c f - b 4 d d - a 6 4 c 1 8 3 4 0 4 5 e " > < 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 3 2 3 6 7 7 5 6 0 < / S A H o s t H a s h > < G e m i n i F i e l d L i s t V i s i b l e > T r u e < / G e m i n i F i e l d L i s t V i s i b l e > < / S e t t i n g s > ] ] > < / C u s t o m C o n t e n t > < / G e m i n i > 
</file>

<file path=customXml/item53.xml>��< ? x m l   v e r s i o n = " 1 . 0 "   e n c o d i n g = " U T F - 1 6 " ? > < G e m i n i   x m l n s = " h t t p : / / g e m i n i / p i v o t c u s t o m i z a t i o n / T a b l e X M L _ W i n t e r   b e d   o c c   o v e r   1 4   d a y s " > < C u s t o m C o n t e n t > & l t ; T a b l e W i d g e t G r i d S e r i a l i z a t i o n   x m l n s : x s i = " h t t p : / / w w w . w 3 . o r g / 2 0 0 1 / X M L S c h e m a - i n s t a n c e "   x m l n s : x s d = " h t t p : / / w w w . w 3 . o r g / 2 0 0 1 / X M L S c h e m a " & g t ; & l t ; C o l u m n S u g g e s t e d T y p e & g t ; & l t ; i t e m & g t ; & l t ; k e y & g t ; & l t ; s t r i n g & g t ; R e g i o n & l t ; / s t r i n g & g t ; & l t ; / k e y & g t ; & l t ; v a l u e & g t ; & l t ; s t r i n g & g t ; W C h a r & l t ; / s t r i n g & g t ; & l t ; / v a l u e & g t ; & l t ; / i t e m & g t ; & l t ; i t e m & g t ; & l t ; k e y & g t ; & l t ; s t r i n g & g t ; C o d e & l t ; / s t r i n g & g t ; & l t ; / k e y & g t ; & l t ; v a l u e & g t ; & l t ; s t r i n g & g t ; W C h a r & l t ; / s t r i n g & g t ; & l t ; / v a l u e & g t ; & l t ; / i t e m & g t ; & l t ; i t e m & g t ; & l t ; k e y & g t ; & l t ; s t r i n g & g t ; N a m e & l t ; / s t r i n g & g t ; & l t ; / k e y & g t ; & l t ; v a l u e & g t ; & l t ; s t r i n g & g t ; W C h a r & l t ; / s t r i n g & g t ; & l t ; / v a l u e & g t ; & l t ; / i t e m & g t ; & l t ; i t e m & g t ; & l t ; k e y & g t ; & l t ; s t r i n g & g t ; Y e a r & l t ; / s t r i n g & g t ; & l t ; / k e y & g t ; & l t ; v a l u e & g t ; & l t ; s t r i n g & g t ; W C h a r & l t ; / s t r i n g & g t ; & l t ; / v a l u e & g t ; & l t ; / i t e m & g t ; & l t ; i t e m & g t ; & l t ; k e y & g t ; & l t ; s t r i n g & g t ; D a t e & l t ; / s t r i n g & g t ; & l t ; / k e y & g t ; & l t ; v a l u e & g t ; & l t ; s t r i n g & g t ; D a t e & l t ; / s t r i n g & g t ; & l t ; / v a l u e & g t ; & l t ; / i t e m & g t ; & l t ; i t e m & g t ; & l t ; k e y & g t ; & l t ; s t r i n g & g t ; W e e k & l t ; / s t r i n g & g t ; & l t ; / k e y & g t ; & l t ; v a l u e & g t ; & l t ; s t r i n g & g t ; B i g I n t & l t ; / s t r i n g & g t ; & l t ; / v a l u e & g t ; & l t ; / i t e m & g t ; & l t ; i t e m & g t ; & l t ; k e y & g t ; & l t ; s t r i n g & g t ; D a y & l t ; / s t r i n g & g t ; & l t ; / k e y & g t ; & l t ; v a l u e & g t ; & l t ; s t r i n g & g t ; W C h a r & l t ; / s t r i n g & g t ; & l t ; / v a l u e & g t ; & l t ; / i t e m & g t ; & l t ; i t e m & g t ; & l t ; k e y & g t ; & l t ; s t r i n g & g t ; W e e k e n d & l t ; / s t r i n g & g t ; & l t ; / k e y & g t ; & l t ; v a l u e & g t ; & l t ; s t r i n g & g t ; B i g I n t & l t ; / s t r i n g & g t ; & l t ; / v a l u e & g t ; & l t ; / i t e m & g t ; & l t ; i t e m & g t ; & l t ; k e y & g t ; & l t ; s t r i n g & g t ; B a n k   h o l i d a y & l t ; / s t r i n g & g t ; & l t ; / k e y & g t ; & l t ; v a l u e & g t ; & l t ; s t r i n g & g t ; E m p t y & l t ; / s t r i n g & g t ; & l t ; / v a l u e & g t ; & l t ; / i t e m & g t ; & l t ; i t e m & g t ; & l t ; k e y & g t ; & l t ; s t r i n g & g t ; A   E   c l o s u r e s & l t ; / s t r i n g & g t ; & l t ; / k e y & g t ; & l t ; v a l u e & g t ; & l t ; s t r i n g & g t ; B i g I n t & l t ; / s t r i n g & g t ; & l t ; / v a l u e & g t ; & l t ; / i t e m & g t ; & l t ; i t e m & g t ; & l t ; k e y & g t ; & l t ; s t r i n g & g t ; A   E   d i v e r t s & l t ; / s t r i n g & g t ; & l t ; / k e y & g t ; & l t ; v a l u e & g t ; & l t ; s t r i n g & g t ; B i g I n t & l t ; / s t r i n g & g t ; & l t ; / v a l u e & g t ; & l t ; / i t e m & g t ; & l t ; i t e m & g t ; & l t ; k e y & g t ; & l t ; s t r i n g & g t ; G   A   c o r e   b e d s   a v a i l & l t ; / s t r i n g & g t ; & l t ; / k e y & g t ; & l t ; v a l u e & g t ; & l t ; s t r i n g & g t ; B i g I n t & l t ; / s t r i n g & g t ; & l t ; / v a l u e & g t ; & l t ; / i t e m & g t ; & l t ; i t e m & g t ; & l t ; k e y & g t ; & l t ; s t r i n g & g t ; G   A   e s c a l a t i o n   b e d s   a v a i l & l t ; / s t r i n g & g t ; & l t ; / k e y & g t ; & l t ; v a l u e & g t ; & l t ; s t r i n g & g t ; B i g I n t & l t ; / s t r i n g & g t ; & l t ; / v a l u e & g t ; & l t ; / i t e m & g t ; & l t ; i t e m & g t ; & l t ; k e y & g t ; & l t ; s t r i n g & g t ; G   A   t o t a l   b e d s   a v a i l & l t ; / s t r i n g & g t ; & l t ; / k e y & g t ; & l t ; v a l u e & g t ; & l t ; s t r i n g & g t ; B i g I n t & l t ; / s t r i n g & g t ; & l t ; / v a l u e & g t ; & l t ; / i t e m & g t ; & l t ; i t e m & g t ; & l t ; k e y & g t ; & l t ; s t r i n g & g t ; G   A   t o t a l   b e d s   o c c u p i e d & l t ; / s t r i n g & g t ; & l t ; / k e y & g t ; & l t ; v a l u e & g t ; & l t ; s t r i n g & g t ; B i g I n t & l t ; / s t r i n g & g t ; & l t ; / v a l u e & g t ; & l t ; / i t e m & g t ; & l t ; i t e m & g t ; & l t ; k e y & g t ; & l t ; s t r i n g & g t ; B e d s   o c c   o v e r   7   d a y s & l t ; / s t r i n g & g t ; & l t ; / k e y & g t ; & l t ; v a l u e & g t ; & l t ; s t r i n g & g t ; B i g I n t & l t ; / s t r i n g & g t ; & l t ; / v a l u e & g t ; & l t ; / i t e m & g t ; & l t ; i t e m & g t ; & l t ; k e y & g t ; & l t ; s t r i n g & g t ; B e d s   o c c   o v e r   2 1   d a y s & l t ; / s t r i n g & g t ; & l t ; / k e y & g t ; & l t ; v a l u e & g t ; & l t ; s t r i n g & g t ; B i g I n t & l t ; / s t r i n g & g t ; & l t ; / v a l u e & g t ; & l t ; / i t e m & g t ; & l t ; i t e m & g t ; & l t ; k e y & g t ; & l t ; s t r i n g & g t ; B e d s   c l o s e d   n o r o v i r u s & l t ; / s t r i n g & g t ; & l t ; / k e y & g t ; & l t ; v a l u e & g t ; & l t ; s t r i n g & g t ; B i g I n t & l t ; / s t r i n g & g t ; & l t ; / v a l u e & g t ; & l t ; / i t e m & g t ; & l t ; i t e m & g t ; & l t ; k e y & g t ; & l t ; s t r i n g & g t ; B e d s   c l o s e d   n o r o v i u s   u n o c c & l t ; / s t r i n g & g t ; & l t ; / k e y & g t ; & l t ; v a l u e & g t ; & l t ; s t r i n g & g t ; B i g I n t & l t ; / s t r i n g & g t ; & l t ; / v a l u e & g t ; & l t ; / i t e m & g t ; & l t ; i t e m & g t ; & l t ; k e y & g t ; & l t ; s t r i n g & g t ; A d u l t   C C   b e d s   a v a i l & l t ; / s t r i n g & g t ; & l t ; / k e y & g t ; & l t ; v a l u e & g t ; & l t ; s t r i n g & g t ; B i g I n t & l t ; / s t r i n g & g t ; & l t ; / v a l u e & g t ; & l t ; / i t e m & g t ; & l t ; i t e m & g t ; & l t ; k e y & g t ; & l t ; s t r i n g & g t ; A d u l t   C C   b e d s   o c c & l t ; / s t r i n g & g t ; & l t ; / k e y & g t ; & l t ; v a l u e & g t ; & l t ; s t r i n g & g t ; B i g I n t & l t ; / s t r i n g & g t ; & l t ; / v a l u e & g t ; & l t ; / i t e m & g t ; & l t ; i t e m & g t ; & l t ; k e y & g t ; & l t ; s t r i n g & g t ; P a e d   I n t   C a r e   A v a i l & l t ; / s t r i n g & g t ; & l t ; / k e y & g t ; & l t ; v a l u e & g t ; & l t ; s t r i n g & g t ; B i g I n t & l t ; / s t r i n g & g t ; & l t ; / v a l u e & g t ; & l t ; / i t e m & g t ; & l t ; i t e m & g t ; & l t ; k e y & g t ; & l t ; s t r i n g & g t ; P a e d   I n t   C a r e   O c c & l t ; / s t r i n g & g t ; & l t ; / k e y & g t ; & l t ; v a l u e & g t ; & l t ; s t r i n g & g t ; B i g I n t & l t ; / s t r i n g & g t ; & l t ; / v a l u e & g t ; & l t ; / i t e m & g t ; & l t ; i t e m & g t ; & l t ; k e y & g t ; & l t ; s t r i n g & g t ; N e o   I n t   C a r e   A v a i l & l t ; / s t r i n g & g t ; & l t ; / k e y & g t ; & l t ; v a l u e & g t ; & l t ; s t r i n g & g t ; B i g I n t & l t ; / s t r i n g & g t ; & l t ; / v a l u e & g t ; & l t ; / i t e m & g t ; & l t ; i t e m & g t ; & l t ; k e y & g t ; & l t ; s t r i n g & g t ; N e o   I n t   C a r e   o c c & l t ; / s t r i n g & g t ; & l t ; / k e y & g t ; & l t ; v a l u e & g t ; & l t ; s t r i n g & g t ; B i g I n t & l t ; / s t r i n g & g t ; & l t ; / v a l u e & g t ; & l t ; / i t e m & g t ; & l t ; i t e m & g t ; & l t ; k e y & g t ; & l t ; s t r i n g & g t ; A m b   a r r i v a l s & l t ; / s t r i n g & g t ; & l t ; / k e y & g t ; & l t ; v a l u e & g t ; & l t ; s t r i n g & g t ; B i g I n t & l t ; / s t r i n g & g t ; & l t ; / v a l u e & g t ; & l t ; / i t e m & g t ; & l t ; i t e m & g t ; & l t ; k e y & g t ; & l t ; s t r i n g & g t ; A m b   d e l a y s   3 0 - 6 0   m i n s & l t ; / s t r i n g & g t ; & l t ; / k e y & g t ; & l t ; v a l u e & g t ; & l t ; s t r i n g & g t ; B i g I n t & l t ; / s t r i n g & g t ; & l t ; / v a l u e & g t ; & l t ; / i t e m & g t ; & l t ; i t e m & g t ; & l t ; k e y & g t ; & l t ; s t r i n g & g t ; A m b   d e l a y s   o v e r   6 0   m i n s & l t ; / s t r i n g & g t ; & l t ; / k e y & g t ; & l t ; v a l u e & g t ; & l t ; s t r i n g & g t ; B i g I n t & l t ; / s t r i n g & g t ; & l t ; / v a l u e & g t ; & l t ; / i t e m & g t ; & l t ; i t e m & g t ; & l t ; k e y & g t ; & l t ; s t r i n g & g t ; B e d s   o c c   o v e r   1 4   d a y s & l t ; / s t r i n g & g t ; & l t ; / k e y & g t ; & l t ; v a l u e & g t ; & l t ; s t r i n g & g t ; B i g I n t & l t ; / s t r i n g & g t ; & l t ; / v a l u e & g t ; & l t ; / i t e m & g t ; & l t ; / C o l u m n S u g g e s t e d T y p e & g t ; & l t ; C o l u m n F o r m a t   / & g t ; & l t ; C o l u m n A c c u r a c y   / & g t ; & l t ; C o l u m n C u r r e n c y S y m b o l   / & g t ; & l t ; C o l u m n P o s i t i v e P a t t e r n   / & g t ; & l t ; C o l u m n N e g a t i v e P a t t e r n   / & g t ; & l t ; C o l u m n W i d t h s & g t ; & l t ; i t e m & g t ; & l t ; k e y & g t ; & l t ; s t r i n g & g t ; R e g i o n & l t ; / s t r i n g & g t ; & l t ; / k e y & g t ; & l t ; v a l u e & g t ; & l t ; i n t & g t ; 8 4 & l t ; / i n t & g t ; & l t ; / v a l u e & g t ; & l t ; / i t e m & g t ; & l t ; i t e m & g t ; & l t ; k e y & g t ; & l t ; s t r i n g & g t ; C o d e & l t ; / s t r i n g & g t ; & l t ; / k e y & g t ; & l t ; v a l u e & g t ; & l t ; i n t & g t ; 7 3 & l t ; / i n t & g t ; & l t ; / v a l u e & g t ; & l t ; / i t e m & g t ; & l t ; i t e m & g t ; & l t ; k e y & g t ; & l t ; s t r i n g & g t ; N a m e & l t ; / s t r i n g & g t ; & l t ; / k e y & g t ; & l t ; v a l u e & g t ; & l t ; i n t & g t ; 7 8 & l t ; / i n t & g t ; & l t ; / v a l u e & g t ; & l t ; / i t e m & g t ; & l t ; i t e m & g t ; & l t ; k e y & g t ; & l t ; s t r i n g & g t ; Y e a r & l t ; / s t r i n g & g t ; & l t ; / k e y & g t ; & l t ; v a l u e & g t ; & l t ; i n t & g t ; 6 7 & 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W e e k e n d & l t ; / s t r i n g & g t ; & l t ; / k e y & g t ; & l t ; v a l u e & g t ; & l t ; i n t & g t ; 1 0 0 & l t ; / i n t & g t ; & l t ; / v a l u e & g t ; & l t ; / i t e m & g t ; & l t ; i t e m & g t ; & l t ; k e y & g t ; & l t ; s t r i n g & g t ; B a n k   h o l i d a y & l t ; / s t r i n g & g t ; & l t ; / k e y & g t ; & l t ; v a l u e & g t ; & l t ; i n t & g t ; 1 2 0 & l t ; / i n t & g t ; & l t ; / v a l u e & g t ; & l t ; / i t e m & g t ; & l t ; i t e m & g t ; & l t ; k e y & g t ; & l t ; s t r i n g & g t ; A   E   c l o s u r e s & l t ; / s t r i n g & g t ; & l t ; / k e y & g t ; & l t ; v a l u e & g t ; & l t ; i n t & g t ; 1 1 4 & l t ; / i n t & g t ; & l t ; / v a l u e & g t ; & l t ; / i t e m & g t ; & l t ; i t e m & g t ; & l t ; k e y & g t ; & l t ; s t r i n g & g t ; A   E   d i v e r t s & l t ; / s t r i n g & g t ; & l t ; / k e y & g t ; & l t ; v a l u e & g t ; & l t ; i n t & g t ; 1 0 6 & l t ; / i n t & g t ; & l t ; / v a l u e & g t ; & l t ; / i t e m & g t ; & l t ; i t e m & g t ; & l t ; k e y & g t ; & l t ; s t r i n g & g t ; G   A   c o r e   b e d s   a v a i l & l t ; / s t r i n g & g t ; & l t ; / k e y & g t ; & l t ; v a l u e & g t ; & l t ; i n t & g t ; 1 5 7 & l t ; / i n t & g t ; & l t ; / v a l u e & g t ; & l t ; / i t e m & g t ; & l t ; i t e m & g t ; & l t ; k e y & g t ; & l t ; s t r i n g & g t ; G   A   e s c a l a t i o n   b e d s   a v a i l & l t ; / s t r i n g & g t ; & l t ; / k e y & g t ; & l t ; v a l u e & g t ; & l t ; i n t & g t ; 1 9 2 & l t ; / i n t & g t ; & l t ; / v a l u e & g t ; & l t ; / i t e m & g t ; & l t ; i t e m & g t ; & l t ; k e y & g t ; & l t ; s t r i n g & g t ; G   A   t o t a l   b e d s   a v a i l & l t ; / s t r i n g & g t ; & l t ; / k e y & g t ; & l t ; v a l u e & g t ; & l t ; i n t & g t ; 1 5 9 & l t ; / i n t & g t ; & l t ; / v a l u e & g t ; & l t ; / i t e m & g t ; & l t ; i t e m & g t ; & l t ; k e y & g t ; & l t ; s t r i n g & g t ; G   A   t o t a l   b e d s   o c c u p i e d & l t ; / s t r i n g & g t ; & l t ; / k e y & g t ; & l t ; v a l u e & g t ; & l t ; i n t & g t ; 1 8 6 & l t ; / i n t & g t ; & l t ; / v a l u e & g t ; & l t ; / i t e m & g t ; & l t ; i t e m & g t ; & l t ; k e y & g t ; & l t ; s t r i n g & g t ; B e d s   o c c   o v e r   7   d a y s & l t ; / s t r i n g & g t ; & l t ; / k e y & g t ; & l t ; v a l u e & g t ; & l t ; i n t & g t ; 1 6 6 & l t ; / i n t & g t ; & l t ; / v a l u e & g t ; & l t ; / i t e m & g t ; & l t ; i t e m & g t ; & l t ; k e y & g t ; & l t ; s t r i n g & g t ; B e d s   o c c   o v e r   2 1   d a y s & l t ; / s t r i n g & g t ; & l t ; / k e y & g t ; & l t ; v a l u e & g t ; & l t ; i n t & g t ; 1 7 3 & l t ; / i n t & g t ; & l t ; / v a l u e & g t ; & l t ; / i t e m & g t ; & l t ; i t e m & g t ; & l t ; k e y & g t ; & l t ; s t r i n g & g t ; B e d s 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 m i n s & l t ; / s t r i n g & g t ; & l t ; / k e y & g t ; & l t ; v a l u e & g t ; & l t ; i n t & g t ; 1 9 4 & l t ; / i n t & g t ; & l t ; / v a l u e & g t ; & l t ; / i t e m & g t ; & l t ; i t e m & g t ; & l t ; k e y & g t ; & l t ; s t r i n g & g t ; B e d s   o c c   o v e r   1 4   d a y s & l t ; / s t r i n g & g t ; & l t ; / k e y & g t ; & l t ; v a l u e & g t ; & l t ; i n t & g t ; 1 7 3 & l t ; / i n t & g t ; & l t ; / v a l u e & g t ; & l t ; / i t e m & g t ; & l t ; / C o l u m n W i d t h s & g t ; & l t ; C o l u m n D i s p l a y I n d e x & g t ; & l t ; i t e m & g t ; & l t ; k e y & g t ; & l t ; s t r i n g & g t ; R e g i o n & l t ; / s t r i n g & g t ; & l t ; / k e y & g t ; & l t ; v a l u e & g t ; & l t ; i n t & g t ; 0 & l t ; / i n t & g t ; & l t ; / v a l u e & g t ; & l t ; / i t e m & g t ; & l t ; i t e m & g t ; & l t ; k e y & g t ; & l t ; s t r i n g & g t ; C o d e & l t ; / s t r i n g & g t ; & l t ; / k e y & g t ; & l t ; v a l u e & g t ; & l t ; i n t & g t ; 1 & l t ; / i n t & g t ; & l t ; / v a l u e & g t ; & l t ; / i t e m & g t ; & l t ; i t e m & g t ; & l t ; k e y & g t ; & l t ; s t r i n g & g t ; N a m e & l t ; / s t r i n g & g t ; & l t ; / k e y & g t ; & l t ; v a l u e & g t ; & l t ; i n t & g t ; 2 & l t ; / i n t & g t ; & l t ; / v a l u e & g t ; & l t ; / i t e m & g t ; & l t ; i t e m & g t ; & l t ; k e y & g t ; & l t ; s t r i n g & g t ; Y e a r & l t ; / s t r i n g & g t ; & l t ; / k e y & g t ; & l t ; v a l u e & g t ; & l t ; i n t & g t ; 3 & l t ; / i n t & g t ; & l t ; / v a l u e & g t ; & l t ; / i t e m & g t ; & l t ; i t e m & g t ; & l t ; k e y & g t ; & l t ; s t r i n g & g t ; D a t e & l t ; / s t r i n g & g t ; & l t ; / k e y & g t ; & l t ; v a l u e & g t ; & l t ; i n t & g t ; 4 & l t ; / i n t & g t ; & l t ; / v a l u e & g t ; & l t ; / i t e m & g t ; & l t ; i t e m & g t ; & l t ; k e y & g t ; & l t ; s t r i n g & g t ; W e e k & l t ; / s t r i n g & g t ; & l t ; / k e y & g t ; & l t ; v a l u e & g t ; & l t ; i n t & g t ; 5 & l t ; / i n t & g t ; & l t ; / v a l u e & g t ; & l t ; / i t e m & g t ; & l t ; i t e m & g t ; & l t ; k e y & g t ; & l t ; s t r i n g & g t ; D a y & l t ; / s t r i n g & g t ; & l t ; / k e y & g t ; & l t ; v a l u e & g t ; & l t ; i n t & g t ; 6 & l t ; / i n t & g t ; & l t ; / v a l u e & g t ; & l t ; / i t e m & g t ; & l t ; i t e m & g t ; & l t ; k e y & g t ; & l t ; s t r i n g & g t ; W e e k e n d & l t ; / s t r i n g & g t ; & l t ; / k e y & g t ; & l t ; v a l u e & g t ; & l t ; i n t & g t ; 7 & l t ; / i n t & g t ; & l t ; / v a l u e & g t ; & l t ; / i t e m & g t ; & l t ; i t e m & g t ; & l t ; k e y & g t ; & l t ; s t r i n g & g t ; B a n k   h o l i d a y & l t ; / s t r i n g & g t ; & l t ; / k e y & g t ; & l t ; v a l u e & g t ; & l t ; i n t & g t ; 8 & l t ; / i n t & g t ; & l t ; / v a l u e & g t ; & l t ; / i t e m & g t ; & l t ; i t e m & g t ; & l t ; k e y & g t ; & l t ; s t r i n g & g t ; A   E   c l o s u r e s & l t ; / s t r i n g & g t ; & l t ; / k e y & g t ; & l t ; v a l u e & g t ; & l t ; i n t & g t ; 9 & l t ; / i n t & g t ; & l t ; / v a l u e & g t ; & l t ; / i t e m & g t ; & l t ; i t e m & g t ; & l t ; k e y & g t ; & l t ; s t r i n g & g t ; A   E   d i v e r t s & l t ; / s t r i n g & g t ; & l t ; / k e y & g t ; & l t ; v a l u e & g t ; & l t ; i n t & g t ; 1 0 & l t ; / i n t & g t ; & l t ; / v a l u e & g t ; & l t ; / i t e m & g t ; & l t ; i t e m & g t ; & l t ; k e y & g t ; & l t ; s t r i n g & g t ; G   A   c o r e   b e d s   a v a i l & l t ; / s t r i n g & g t ; & l t ; / k e y & g t ; & l t ; v a l u e & g t ; & l t ; i n t & g t ; 1 1 & l t ; / i n t & g t ; & l t ; / v a l u e & g t ; & l t ; / i t e m & g t ; & l t ; i t e m & g t ; & l t ; k e y & g t ; & l t ; s t r i n g & g t ; G   A   e s c a l a t i o n   b e d s   a v a i l & l t ; / s t r i n g & g t ; & l t ; / k e y & g t ; & l t ; v a l u e & g t ; & l t ; i n t & g t ; 1 2 & l t ; / i n t & g t ; & l t ; / v a l u e & g t ; & l t ; / i t e m & g t ; & l t ; i t e m & g t ; & l t ; k e y & g t ; & l t ; s t r i n g & g t ; G   A   t o t a l   b e d s   a v a i l & l t ; / s t r i n g & g t ; & l t ; / k e y & g t ; & l t ; v a l u e & g t ; & l t ; i n t & g t ; 1 3 & l t ; / i n t & g t ; & l t ; / v a l u e & g t ; & l t ; / i t e m & g t ; & l t ; i t e m & g t ; & l t ; k e y & g t ; & l t ; s t r i n g & g t ; G   A   t o t a l   b e d s   o c c u p i e d & l t ; / s t r i n g & g t ; & l t ; / k e y & g t ; & l t ; v a l u e & g t ; & l t ; i n t & g t ; 1 4 & l t ; / i n t & g t ; & l t ; / v a l u e & g t ; & l t ; / i t e m & g t ; & l t ; i t e m & g t ; & l t ; k e y & g t ; & l t ; s t r i n g & g t ; B e d s   o c c   o v e r   7   d a y s & l t ; / s t r i n g & g t ; & l t ; / k e y & g t ; & l t ; v a l u e & g t ; & l t ; i n t & g t ; 1 5 & l t ; / i n t & g t ; & l t ; / v a l u e & g t ; & l t ; / i t e m & g t ; & l t ; i t e m & g t ; & l t ; k e y & g t ; & l t ; s t r i n g & g t ; B e d s   o c c   o v e r   2 1   d a y s & l t ; / s t r i n g & g t ; & l t ; / k e y & g t ; & l t ; v a l u e & g t ; & l t ; i n t & g t ; 1 6 & l t ; / i n t & g t ; & l t ; / v a l u e & g t ; & l t ; / i t e m & g t ; & l t ; i t e m & g t ; & l t ; k e y & g t ; & l t ; s t r i n g & g t ; B e d s   c l o s e d   n o r o v i r u s & l t ; / s t r i n g & g t ; & l t ; / k e y & g t ; & l t ; v a l u e & g t ; & l t ; i n t & g t ; 1 7 & l t ; / i n t & g t ; & l t ; / v a l u e & g t ; & l t ; / i t e m & g t ; & l t ; i t e m & g t ; & l t ; k e y & g t ; & l t ; s t r i n g & g t ; B e d s   c l o s e d   n o r o v i u s   u n o c c & l t ; / s t r i n g & g t ; & l t ; / k e y & g t ; & l t ; v a l u e & g t ; & l t ; i n t & g t ; 1 8 & l t ; / i n t & g t ; & l t ; / v a l u e & g t ; & l t ; / i t e m & g t ; & l t ; i t e m & g t ; & l t ; k e y & g t ; & l t ; s t r i n g & g t ; A d u l t   C C   b e d s   a v a i l & l t ; / s t r i n g & g t ; & l t ; / k e y & g t ; & l t ; v a l u e & g t ; & l t ; i n t & g t ; 1 9 & l t ; / i n t & g t ; & l t ; / v a l u e & g t ; & l t ; / i t e m & g t ; & l t ; i t e m & g t ; & l t ; k e y & g t ; & l t ; s t r i n g & g t ; A d u l t   C C   b e d s   o c c & l t ; / s t r i n g & g t ; & l t ; / k e y & g t ; & l t ; v a l u e & g t ; & l t ; i n t & g t ; 2 0 & l t ; / i n t & g t ; & l t ; / v a l u e & g t ; & l t ; / i t e m & g t ; & l t ; i t e m & g t ; & l t ; k e y & g t ; & l t ; s t r i n g & g t ; P a e d   I n t   C a r e   A v a i l & l t ; / s t r i n g & g t ; & l t ; / k e y & g t ; & l t ; v a l u e & g t ; & l t ; i n t & g t ; 2 1 & l t ; / i n t & g t ; & l t ; / v a l u e & g t ; & l t ; / i t e m & g t ; & l t ; i t e m & g t ; & l t ; k e y & g t ; & l t ; s t r i n g & g t ; P a e d   I n t   C a r e   O c c & l t ; / s t r i n g & g t ; & l t ; / k e y & g t ; & l t ; v a l u e & g t ; & l t ; i n t & g t ; 2 2 & l t ; / i n t & g t ; & l t ; / v a l u e & g t ; & l t ; / i t e m & g t ; & l t ; i t e m & g t ; & l t ; k e y & g t ; & l t ; s t r i n g & g t ; N e o   I n t   C a r e   A v a i l & l t ; / s t r i n g & g t ; & l t ; / k e y & g t ; & l t ; v a l u e & g t ; & l t ; i n t & g t ; 2 3 & l t ; / i n t & g t ; & l t ; / v a l u e & g t ; & l t ; / i t e m & g t ; & l t ; i t e m & g t ; & l t ; k e y & g t ; & l t ; s t r i n g & g t ; N e o   I n t   C a r e   o c c & l t ; / s t r i n g & g t ; & l t ; / k e y & g t ; & l t ; v a l u e & g t ; & l t ; i n t & g t ; 2 4 & l t ; / i n t & g t ; & l t ; / v a l u e & g t ; & l t ; / i t e m & g t ; & l t ; i t e m & g t ; & l t ; k e y & g t ; & l t ; s t r i n g & g t ; A m b   a r r i v a l s & l t ; / s t r i n g & g t ; & l t ; / k e y & g t ; & l t ; v a l u e & g t ; & l t ; i n t & g t ; 2 5 & l t ; / i n t & g t ; & l t ; / v a l u e & g t ; & l t ; / i t e m & g t ; & l t ; i t e m & g t ; & l t ; k e y & g t ; & l t ; s t r i n g & g t ; A m b   d e l a y s   3 0 - 6 0   m i n s & l t ; / s t r i n g & g t ; & l t ; / k e y & g t ; & l t ; v a l u e & g t ; & l t ; i n t & g t ; 2 6 & l t ; / i n t & g t ; & l t ; / v a l u e & g t ; & l t ; / i t e m & g t ; & l t ; i t e m & g t ; & l t ; k e y & g t ; & l t ; s t r i n g & g t ; A m b   d e l a y s   o v e r   6 0   m i n s & l t ; / s t r i n g & g t ; & l t ; / k e y & g t ; & l t ; v a l u e & g t ; & l t ; i n t & g t ; 2 7 & l t ; / i n t & g t ; & l t ; / v a l u e & g t ; & l t ; / i t e m & g t ; & l t ; i t e m & g t ; & l t ; k e y & g t ; & l t ; s t r i n g & g t ; B e d s   o c c   o v e r   1 4   d a y s & l t ; / s t r i n g & g t ; & l t ; / k e y & g t ; & l t ; v a l u e & g t ; & l t ; i n t & g t ; 2 8 & l t ; / i n t & g t ; & l t ; / v a l u e & g t ; & l t ; / i t e m & g t ; & l t ; / C o l u m n D i s p l a y I n d e x & g t ; & l t ; C o l u m n F r o z e n   / & g t ; & l t ; C o l u m n C h e c k e d   / & g t ; & l t ; C o l u m n F i l t e r   / & g t ; & l t ; S e l e c t i o n F i l t e r   / & g t ; & l t ; F i l t e r P a r a m e t e r s   / & g t ; & l t ; I s S o r t D e s c e n d i n g & g t ; f a l s e & l t ; / I s S o r t D e s c e n d i n g & g t ; & l t ; / T a b l e W i d g e t G r i d S e r i a l i z a t i o n & g t ; < / C u s t o m C o n t e n t > < / G e m i n i > 
</file>

<file path=customXml/item54.xml>��< ? x m l   v e r s i o n = " 1 . 0 "   e n c o d i n g = " U T F - 1 6 " ? > < G e m i n i   x m l n s = " h t t p : / / g e m i n i / p i v o t c u s t o m i z a t i o n / c b 8 3 e 9 5 3 - d 3 a 9 - 4 4 3 3 - 8 4 e 3 - 8 6 f 1 3 2 0 8 4 5 4 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 2 0 4 1 8 9 9 5 2 < / S A H o s t H a s h > < G e m i n i F i e l d L i s t V i s i b l e > F a l s e < / G e m i n i F i e l d L i s t V i s i b l e > < / S e t t i n g s > ] ] > < / C u s t o m C o n t e n t > < / G e m i n i > 
</file>

<file path=customXml/item55.xml>��< ? x m l   v e r s i o n = " 1 . 0 "   e n c o d i n g = " U T F - 1 6 " ? > < G e m i n i   x m l n s = " h t t p : / / g e m i n i / p i v o t c u s t o m i z a t i o n / 2 8 d e d f 1 c - 9 2 d 5 - 4 d 5 3 - b 4 e 5 - 4 d a 1 7 1 1 1 b b 7 9 " > < 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 1 4 0 0 9 6 4 8 5 0 < / S A H o s t H a s h > < G e m i n i F i e l d L i s t V i s i b l e > F a l s e < / G e m i n i F i e l d L i s t V i s i b l e > < / S e t t i n g s > ] ] > < / C u s t o m C o n t e n t > < / G e m i n i > 
</file>

<file path=customXml/item56.xml>��< ? x m l   v e r s i o n = " 1 . 0 "   e n c o d i n g = " U T F - 1 6 " ? > < G e m i n i   x m l n s = " h t t p : / / g e m i n i / p i v o t c u s t o m i z a t i o n / e 4 f 2 c 4 7 2 - a 1 4 6 - 4 e e 5 - b e 4 9 - 5 2 8 7 0 8 8 b 7 2 0 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 1 7 4 5 2 4 5 8 0 8 < / S A H o s t H a s h > < G e m i n i F i e l d L i s t V i s i b l e > F a l s e < / G e m i n i F i e l d L i s t V i s i b l e > < / S e t t i n g s > ] ] > < / C u s t o m C o n t e n t > < / G e m i n i > 
</file>

<file path=customXml/item57.xml>��< ? x m l   v e r s i o n = " 1 . 0 "   e n c o d i n g = " U T F - 1 6 " ? > < G e m i n i   x m l n s = " h t t p : / / g e m i n i / p i v o t c u s t o m i z a t i o n / 3 c b 5 c d c a - 3 6 b 5 - 4 8 6 f - a 2 0 e - 3 9 c e 4 9 e 1 e 4 4 d " > < C u s t o m C o n t e n t > < ! [ C D A T A [ < ? x m l   v e r s i o n = " 1 . 0 "   e n c o d i n g = " u t f - 1 6 " ? > < S e t t i n g s > < C a l c u l a t e d F i e l d s > < i t e m > < M e a s u r e N a m e > S u m   o f   A m b   d e l a y s   o v e r   6 0   m i n s < / M e a s u r e N a m e > < D i s p l a y N a m e > S u m   o f   A m b   d e l a y s   o v e r   6 0   m i n s < / D i s p l a y N a m e > < V i s i b l e > T r u e < / V i s i b l e > < / i t e m > < / C a l c u l a t e d F i e l d s > < H S l i c e r s S h a p e > 0 ; 0 ; 0 ; 0 < / H S l i c e r s S h a p e > < V S l i c e r s S h a p e > 0 ; 0 ; 0 ; 0 < / V S l i c e r s S h a p e > < S l i c e r S h e e t N a m e > N I C U < / S l i c e r S h e e t N a m e > < S A H o s t H a s h > 4 3 6 0 7 4 2 3 5 < / S A H o s t H a s h > < G e m i n i F i e l d L i s t V i s i b l e > T r u e < / G e m i n i F i e l d L i s t V i s i b l e > < / S e t t i n g s > ] ] > < / C u s t o m C o n t e n t > < / G e m i n i > 
</file>

<file path=customXml/item58.xml>��< ? x m l   v e r s i o n = " 1 . 0 "   e n c o d i n g = " U T F - 1 6 " ? > < G e m i n i   x m l n s = " h t t p : / / g e m i n i / p i v o t c u s t o m i z a t i o n / 7 c d b a 4 9 d - 4 c 8 e - 4 5 1 7 - a 4 e 1 - 6 f f 5 f e d b b 3 a 1 " > < C u s t o m C o n t e n t > < ! [ C D A T A [ < ? x m l   v e r s i o n = " 1 . 0 "   e n c o d i n g = " u t f - 1 6 " ? > < S e t t i n g s > < C a l c u l a t e d F i e l d s > < i t e m > < M e a s u r e N a m e > S u m   o f   A E   d i v e r t s < / M e a s u r e N a m e > < D i s p l a y N a m e > S u m   o f   A E   d i v e r t s < / D i s p l a y N a m e > < V i s i b l e > T r u e < / V i s i b l e > < / i t e m > < / C a l c u l a t e d F i e l d s > < H S l i c e r s S h a p e > 0 ; 0 ; 0 ; 0 < / H S l i c e r s S h a p e > < V S l i c e r s S h a p e > 0 ; 0 ; 0 ; 0 < / V S l i c e r s S h a p e > < S l i c e r S h e e t N a m e > G & a m p ; A   b e d   a v a i l . < / S l i c e r S h e e t N a m e > < S A H o s t H a s h > 1 0 6 3 7 3 2 9 3 3 < / S A H o s t H a s h > < G e m i n i F i e l d L i s t V i s i b l e > F a l s e < / G e m i n i F i e l d L i s t V i s i b l e > < / S e t t i n g s > ] ] > < / C u s t o m C o n t e n t > < / G e m i n i > 
</file>

<file path=customXml/item59.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 A 3 1 B 8 E 1 6 2 6 1 A 4 E 7 9 9 9 F E < / I D > < N a m e > M i c r o s o f t _ S Q L S e r v e r _ A n a l y s i s S e r v i c e s < / N a m e > < A n n o t a t i o n s > < A n n o t a t i o n > < N a m e > S a n d b o x V e r s i o n < / N a m e > < V a l u e > S Q L 1 1 _ D e n a l i < / V a l u e > < / A n n o t a t i o n > < / A n n o t a t i o n s > < d d l 2 0 0 : C o m p a t i b i l i t y L e v e l > 1 1 0 0 < / d d l 2 0 0 : C o m p a t i b i l i t y L e v e l > < d d l 2 0 0 _ 2 0 0 : S t o r a g e E n g i n e U s e d > I n M e m o r y < / d d l 2 0 0 _ 2 0 0 : S t o r a g e E n g i n e U s e d > < L a n g u a g e > 2 0 5 7 < / L a n g u a g e > < D a t a S o u r c e I m p e r s o n a t i o n I n f o > < I m p e r s o n a t i o n M o d e > D e f a u l t < / I m p e r s o n a t i o n M o d e > < / D a t a S o u r c e I m p e r s o n a t i o n I n f o > < D i m e n s i o n s > < D i m e n s i o n > < I D > W i n t e r   d a i l y   s i t r e p s _ 1 d f 8 1 2 b b - 9 f c 3 - 4 6 7 4 - 8 d 4 1 - 6 0 c 6 7 2 6 a 8 e f 3 < / I D > < N a m e > W i n t e r   d a i l y   s i t r e p s < / 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  / & g t ;  
     & l t ; C o l u m n A c c u r a c y   / & g t ;  
     & l t ; C o l u m n C u r r e n c y S y m b o l   / & g t ;  
     & l t ; C o l u m n P o s i t i v e P a t t e r n   / & g t ;  
     & l t ; C o l u m n N e g a t i v e P a t t e r n   / & g t ;  
     & l t ; C o l u m n W i d t h s & g t ;  
         & l t ; i t e m & g t ;  
             & l t ; k e y & g t ;  
                 & l t ; s t r i n g & g t ; I D & l t ; / s t r i n g & g t ;  
             & l t ; / k e y & g t ;  
             & l t ; v a l u e & g t ;  
                 & l t ; i n t & g t ; 7 2 & l t ; / i n t & g t ;  
             & l t ; / v a l u e & g t ;  
         & l t ; / i t e m & g t ;  
         & l t ; i t e m & g t ;  
             & l t ; k e y & g t ;  
                 & l t ; s t r i n g & g t ; c r i _ i d & l t ; / s t r i n g & g t ;  
             & l t ; / k e y & g t ;  
             & l t ; v a l u e & g t ;  
                 & l t ; i n t & g t ; 9 3 & l t ; / i n t & g t ;  
             & l t ; / v a l u e & g t ;  
         & l t ; / i t e m & g t ;  
         & l t ; i t e m & g t ;  
             & l t ; k e y & g t ;  
                 & l t ; s t r i n g & g t ; d r _ i d & l t ; / s t r i n g & g t ;  
             & l t ; / k e y & g t ;  
             & l t ; v a l u e & g t ;  
                 & l t ; i n t & g t ; 9 1 & l t ; / i n t & g t ;  
             & l t ; / v a l u e & g t ;  
         & l t ; / i t e m & g t ;  
         & l t ; i t e m & g t ;  
             & l t ; k e y & g t ;  
                 & l t ; s t r i n g & g t ; o r g _ i d & l t ; / s t r i n g & g t ;  
             & l t ; / k e y & g t ;  
             & l t ; v a l u e & g t ;  
                 & l t ; i n t & g t ; 9 8 & l t ; / i n t & g t ;  
             & l t ; / v a l u e & g t ;  
         & l t ; / i t e m & g t ;  
         & l t ; i t e m & g t ;  
             & l t ; k e y & g t ;  
                 & l t ; s t r i n g & g t ; c r i _ d a t a p e r i o d s t a r t & l t ; / s t r i n g & g t ;  
             & l t ; / k e y & g t ;  
             & l t ; v a l u e & g t ;  
                 & l t ; i n t & g t ; 1 7 7 & l t ; / i n t & g t ;  
             & l t ; / v a l u e & g t ;  
         & l t ; / i t e m & g t ;  
         & l t ; i t e m & g t ;  
             & l t ; k e y & g t ;  
                 & l t ; s t r i n g & g t ; C o d e & l t ; / s t r i n g & g t ;  
             & l t ; / k e y & g t ;  
             & l t ; v a l u e & g t ;  
                 & l t ; i n t & g t ; 9 1 & l t ; / i n t & g t ;  
             & l t ; / v a l u e & g t ;  
         & l t ; / i t e m & g t ;  
         & l t ; i t e m & g t ;  
             & l t ; k e y & g t ;  
                 & l t ; s t r i n g & g t ; N a m e & l t ; / s t r i n g & g t ;  
             & l t ; / k e y & g t ;  
             & l t ; v a l u e & g t ;  
                 & l t ; i n t & g t ; 9 6 & l t ; / i n t & g t ;  
             & l t ; / v a l u e & g t ;  
         & l t ; / i t e m & g t ;  
         & l t ; i t e m & g t ;  
             & l t ; k e y & g t ;  
                 & l t ; s t r i n g & g t ; D a t e & l t ; / s t r i n g & g t ;  
             & l t ; / k e y & g t ;  
             & l t ; v a l u e & g t ;  
                 & l t ; i n t & g t ; 8 8 & l t ; / i n t & g t ;  
             & l t ; / v a l u e & g t ;  
         & l t ; / i t e m & g t ;  
         & l t ; i t e m & g t ;  
             & l t ; k e y & g t ;  
                 & l t ; s t r i n g & g t ; W e e k & l t ; / s t r i n g & g t ;  
             & l t ; / k e y & g t ;  
             & l t ; v a l u e & g t ;  
                 & l t ; i n t & g t ; 9 4 & l t ; / i n t & g t ;  
             & l t ; / v a l u e & g t ;  
         & l t ; / i t e m & g t ;  
         & l t ; i t e m & g t ;  
             & l t ; k e y & g t ;  
                 & l t ; s t r i n g & g t ; D a y & l t ; / s t r i n g & g t ;  
             & l t ; / k e y & g t ;  
             & l t ; v a l u e & g t ;  
                 & l t ; i n t & g t ; 8 2 & l t ; / i n t & g t ;  
             & l t ; / v a l u e & g t ;  
         & l t ; / i t e m & g t ;  
         & l t ; i t e m & g t ;  
             & l t ; k e y & g t ;  
                 & l t ; s t r i n g & g t ; B a n k   h o l i d a y & l t ; / s t r i n g & g t ;  
             & l t ; / k e y & g t ;  
             & l t ; v a l u e & g t ;  
                 & l t ; i n t & g t ; 1 3 8 & l t ; / i n t & g t ;  
             & l t ; / v a l u e & g t ;  
         & l t ; / i t e m & g t ;  
         & l t ; i t e m & g t ;  
             & l t ; k e y & g t ;  
                 & l t ; s t r i n g & g t ; A & a m p ; a m p ; E   c l o s u r e s & l t ; / s t r i n g & g t ;  
             & l t ; / k e y & g t ;  
             & l t ; v a l u e & g t ;  
                 & l t ; i n t & g t ; 1 3 9 & l t ; / i n t & g t ;  
             & l t ; / v a l u e & g t ;  
         & l t ; / i t e m & g t ;  
         & l t ; i t e m & g t ;  
             & l t ; k e y & g t ;  
                 & l t ; s t r i n g & g t ; A & a m p ; a m p ; E   d i v e r t s & l t ; / s t r i n g & g t ;  
             & l t ; / k e y & g t ;  
             & l t ; v a l u e & g t ;  
                 & l t ; i n t & g t ; 1 3 1 & l t ; / i n t & g t ;  
             & l t ; / v a l u e & g t ;  
         & l t ; / i t e m & g t ;  
         & l t ; i t e m & g t ;  
             & l t ; k e y & g t ;  
                 & l t ; s t r i n g & g t ; A & a m p ; a m p ; E   t y p e   1   a t t e n d a n c e s & l t ; / s t r i n g & g t ;  
             & l t ; / k e y & g t ;  
             & l t ; v a l u e & g t ;  
                 & l t ; i n t & g t ; 2 0 5 & l t ; / i n t & g t ;  
             & l t ; / v a l u e & g t ;  
         & l t ; / i t e m & g t ;  
         & l t ; i t e m & g t ;  
             & l t ; k e y & g t ;  
                 & l t ; s t r i n g & g t ; A & a m p ; a m p ; E   t y p e   2   a t t e n d a n c e s & l t ; / s t r i n g & g t ;  
             & l t ; / k e y & g t ;  
             & l t ; v a l u e & g t ;  
                 & l t ; i n t & g t ; 2 0 5 & l t ; / i n t & g t ;  
             & l t ; / v a l u e & g t ;  
         & l t ; / i t e m & g t ;  
         & l t ; i t e m & g t ;  
             & l t ; k e y & g t ;  
                 & l t ; s t r i n g & g t ; A & a m p ; a m p ; E   t y p e   3   a t t e n d a n c e s & l t ; / s t r i n g & g t ;  
             & l t ; / k e y & g t ;  
             & l t ; v a l u e & g t ;  
                 & l t ; i n t & g t ; 2 0 5 & l t ; / i n t & g t ;  
             & l t ; / v a l u e & g t ;  
         & l t ; / i t e m & g t ;  
         & l t ; i t e m & g t ;  
             & l t ; k e y & g t ;  
                 & l t ; s t r i n g & g t ; A & a m p ; a m p ; E   t o t a l   a t t e n d a n c e s & l t ; / s t r i n g & g t ;  
             & l t ; / k e y & g t ;  
             & l t ; v a l u e & g t ;  
                 & l t ; i n t & g t ; 1 9 6 & l t ; / i n t & g t ;  
             & l t ; / v a l u e & g t ;  
         & l t ; / i t e m & g t ;  
         & l t ; i t e m & g t ;  
             & l t ; k e y & g t ;  
                 & l t ; s t r i n g & g t ; E m e r g e n c y   a d m i s s i o n s & l t ; / s t r i n g & g t ;  
             & l t ; / k e y & g t ;  
             & l t ; v a l u e & g t ;  
                 & l t ; i n t & g t ; 1 9 9 & l t ; / i n t & g t ;  
             & l t ; / v a l u e & g t ;  
         & l t ; / i t e m & g t ;  
         & l t ; i t e m & g t ;  
             & l t ; k e y & g t ;  
                 & l t ; s t r i n g & g t ; G & a m p ; a m p ; A   c o r e   b e d s   a v a i l & l t ; / s t r i n g & g t ;  
             & l t ; / k e y & g t ;  
             & l t ; v a l u e & g t ;  
                 & l t ; i n t & g t ; 1 8 2 & l t ; / i n t & g t ;  
             & l t ; / v a l u e & g t ;  
         & l t ; / i t e m & g t ;  
         & l t ; i t e m & g t ;  
             & l t ; k e y & g t ;  
                 & l t ; s t r i n g & g t ; G & a m p ; a m p ; A   e s c a l a t i o n   b e d s   a v a i l & l t ; / s t r i n g & g t ;  
             & l t ; / k e y & g t ;  
             & l t ; v a l u e & g t ;  
                 & l t ; i n t & g t ; 2 1 7 & l t ; / i n t & g t ;  
             & l t ; / v a l u e & g t ;  
         & l t ; / i t e m & g t ;  
         & l t ; i t e m & g t ;  
             & l t ; k e y & g t ;  
                 & l t ; s t r i n g & g t ; G & a m p ; a m p ; A   t o t a l   b e d s   a v a i l & l t ; / s t r i n g & g t ;  
             & l t ; / k e y & g t ;  
             & l t ; v a l u e & g t ;  
                 & l t ; i n t & g t ; 1 8 4 & l t ; / i n t & g t ;  
             & l t ; / v a l u e & g t ;  
         & l t ; / i t e m & g t ;  
         & l t ; i t e m & g t ;  
             & l t ; k e y & g t ;  
                 & l t ; s t r i n g & g t ; G & a m p ; a m p ; A   t o t a l   b e d s   o c c u p i e d & l t ; / s t r i n g & g t ;  
             & l t ; / k e y & g t ;  
             & l t ; v a l u e & g t ;  
                 & l t ; i n t & g t ; 2 1 1 & l t ; / i n t & g t ;  
             & l t ; / v a l u e & g t ;  
         & l t ; / i t e m & g t ;  
         & l t ; i t e m & g t ;  
             & l t ; k e y & g t ;  
                 & l t ; s t r i n g & g t ; B e d s   c l o s e d   n o r o v i r u s & l t ; / s t r i n g & g t ;  
             & l t ; / k e y & g t ;  
             & l t ; v a l u e & g t ;  
                 & l t ; i n t & g t ; 1 9 4 & l t ; / i n t & g t ;  
             & l t ; / v a l u e & g t ;  
         & l t ; / i t e m & g t ;  
         & l t ; i t e m & g t ;  
             & l t ; k e y & g t ;  
                 & l t ; s t r i n g & g t ; B e d s   c l o s e d   n o r o v i u s   u n o c c & l t ; / s t r i n g & g t ;  
             & l t ; / k e y & g t ;  
             & l t ; v a l u e & g t ;  
                 & l t ; i n t & g t ; 2 2 8 & l t ; / i n t & g t ;  
             & l t ; / v a l u e & g t ;  
         & l t ; / i t e m & g t ;  
         & l t ; i t e m & g t ;  
             & l t ; k e y & g t ;  
                 & l t ; s t r i n g & g t ; A d u l t   C C   b e d s   a v a i l & l t ; / s t r i n g & g t ;  
             & l t ; / k e y & g t ;  
             & l t ; v a l u e & g t ;  
                 & l t ; i n t & g t ; 1 7 7 & l t ; / i n t & g t ;  
             & l t ; / v a l u e & g t ;  
         & l t ; / i t e m & g t ;  
         & l t ; i t e m & g t ;  
             & l t ; k e y & g t ;  
                 & l t ; s t r i n g & g t ; A d u l t   C C   b e d s   o c c & l t ; / s t r i n g & g t ;  
             & l t ; / k e y & g t ;  
             & l t ; v a l u e & g t ;  
                 & l t ; i n t & g t ; 1 6 8 & l t ; / i n t & g t ;  
             & l t ; / v a l u e & g t ;  
         & l t ; / i t e m & g t ;  
         & l t ; i t e m & g t ;  
             & l t ; k e y & g t ;  
                 & l t ; s t r i n g & g t ; P a e d   I n t   C a r e   A v a i l & l t ; / s t r i n g & g t ;  
             & l t ; / k e y & g t ;  
             & l t ; v a l u e & g t ;  
                 & l t ; i n t & g t ; 1 7 5 & l t ; / i n t & g t ;  
             & l t ; / v a l u e & g t ;  
         & l t ; / i t e m & g t ;  
         & l t ; i t e m & g t ;  
             & l t ; k e y & g t ;  
                 & l t ; s t r i n g & g t ; P a e d   I n t   C a r e   O c c & l t ; / s t r i n g & g t ;  
             & l t ; / k e y & g t ;  
             & l t ; v a l u e & g t ;  
                 & l t ; i n t & g t ; 1 6 6 & l t ; / i n t & g t ;  
             & l t ; / v a l u e & g t ;  
         & l t ; / i t e m & g t ;  
         & l t ; i t e m & g t ;  
             & l t ; k e y & g t ;  
                 & l t ; s t r i n g & g t ; N e o   I n t   C a r e   A v a i l & l t ; / s t r i n g & g t ;  
             & l t ; / k e y & g t ;  
             & l t ; v a l u e & g t ;  
                 & l t ; i n t & g t ; 1 7 0 & l t ; / i n t & g t ;  
             & l t ; / v a l u e & g t ;  
         & l t ; / i t e m & g t ;  
         & l t ; i t e m & g t ;  
             & l t ; k e y & g t ;  
                 & l t ; s t r i n g & g t ; N e o   I n t   C a r e   o c c & l t ; / s t r i n g & g t ;  
             & l t ; / k e y & g t ;  
             & l t ; v a l u e & g t ;  
                 & l t ; i n t & g t ; 1 5 9 & l t ; / i n t & g t ;  
             & l t ; / v a l u e & g t ;  
         & l t ; / i t e m & g t ;  
         & l t ; i t e m & g t ;  
             & l t ; k e y & g t ;  
                 & l t ; s t r i n g & g t ; O P E L   3   o r   a b o v e & l t ; / s t r i n g & g t ;  
             & l t ; / k e y & g t ;  
             & l t ; v a l u e & g t ;  
                 & l t ; i n t & g t ; 1 5 7 & l t ; / i n t & g t ;  
             & l t ; / v a l u e & g t ;  
         & l t ; / i t e m & g t ;  
         & l t ; i t e m & g t ;  
             & l t ; k e y & g t ;  
                 & l t ; s t r i n g & g t ; W e e k e n d & l t ; / s t r i n g & g t ;  
             & l t ; / k e y & g t ;  
             & l t ; v a l u e & g t ;  
                 & l t ; i n t & g t ; 1 1 8 & l t ; / i n t & g t ;  
             & l t ; / v a l u e & g t ;  
         & l t ; / i t e m & g t ;  
         & l t ; i t e m & g t ;  
             & l t ; k e y & g t ;  
                 & l t ; s t r i n g & g t ; R e g i o n & l t ; / s t r i n g & g t ;  
             & l t ; / k e y & g t ;  
             & l t ; v a l u e & g t ;  
                 & l t ; i n t & g t ; 1 0 2 & l t ; / i n t & g t ;  
             & l t ; / v a l u e & g t ;  
         & l t ; / i t e m & g t ;  
         & l t ; i t e m & g t ;  
             & l t ; k e y & g t ;  
                 & l t ; s t r i n g & g t ; Y e a r & l t ; / s t r i n g & g t ;  
             & l t ; / k e y & g t ;  
             & l t ; v a l u e & g t ;  
                 & l t ; i n t & g t ; 8 5 & l t ; / i n t & g t ;  
             & l t ; / v a l u e & g t ;  
         & l t ; / i t e m & g t ;  
         & l t ; i t e m & g t ;  
             & l t ; k e y & g t ;  
                 & l t ; s t r i n g & g t ; B e d s   o c c   o v e r   7   d a y s & l t ; / s t r i n g & g t ;  
             & l t ; / k e y & g t ;  
             & l t ; v a l u e & g t ;  
                 & l t ; i n t & g t ; 1 8 4 & l t ; / i n t & g t ;  
             & l t ; / v a l u e & g t ;  
         & l t ; / i t e m & g t ;  
         & l t ; i t e m & g t ;  
             & l t ; k e y & g t ;  
                 & l t ; s t r i n g & g t ; B e d s   o c c   o v e r   2 1   d a y s & l t ; / s t r i n g & g t ;  
             & l t ; / k e y & g t ;  
             & l t ; v a l u e & g t ;  
                 & l t ; i n t & g t ; 1 9 1 & l t ; / i n t & g t ;  
             & l t ; / v a l u e & g t ;  
         & l t ; / i t e m & g t ;  
         & l t ; i t e m & g t ;  
             & l t ; k e y & g t ;  
                 & l t ; s t r i n g & g t ; A m b   a r r i v a l s & l t ; / s t r i n g & g t ;  
             & l t ; / k e y & g t ;  
             & l t ; v a l u e & g t ;  
                 & l t ; i n t & g t ; 1 3 6 & l t ; / i n t & g t ;  
             & l t ; / v a l u e & g t ;  
         & l t ; / i t e m & g t ;  
         & l t ; i t e m & g t ;  
             & l t ; k e y & g t ;  
                 & l t ; s t r i n g & g t ; A m b   d e l a y s   3 0 - 6 0   m i n s & l t ; / s t r i n g & g t ;  
             & l t ; / k e y & g t ;  
             & l t ; v a l u e & g t ;  
                 & l t ; i n t & g t ; 2 0 0 & l t ; / i n t & g t ;  
             & l t ; / v a l u e & g t ;  
         & l t ; / i t e m & g t ;  
         & l t ; i t e m & g t ;  
             & l t ; k e y & g t ;  
                 & l t ; s t r i n g & g t ; A m b   d e l a y s   o v e r   6 0   m i n s & l t ; / s t r i n g & g t ;  
             & l t ; / k e y & g t ;  
             & l t ; v a l u e & g t ;  
                 & l t ; i n t & g t ; 2 1 2 & l t ; / i n t & g t ;  
             & l t ; / v a l u e & g t ;  
         & l t ; / i t e m & g t ;  
         & l t ; i t e m & g t ;  
             & l t ; k e y & g t ;  
                 & l t ; s t r i n g & g t ; B e d s   o c c   o v e r   1 4   d a y s & l t ; / s t r i n g & g t ;  
             & l t ; / k e y & g t ;  
             & l t ; v a l u e & g t ;  
                 & l t ; i n t & g t ; 1 9 1 & l t ; / i n t & g t ;  
             & l t ; / v a l u e & g t ;  
         & l t ; / i t e m & g t ;  
     & l t ; / C o l u m n W i d t h s & g t ;  
     & l t ; C o l u m n D i s p l a y I n d e x & g t ;  
         & l t ; i t e m & g t ;  
             & l t ; k e y & g t ;  
                 & l t ; s t r i n g & g t ; I D & l t ; / s t r i n g & g t ;  
             & l t ; / k e y & g t ;  
             & l t ; v a l u e & g t ;  
                 & l t ; i n t & g t ; 0 & l t ; / i n t & g t ;  
             & l t ; / v a l u e & g t ;  
         & l t ; / i t e m & g t ;  
         & l t ; i t e m & g t ;  
             & l t ; k e y & g t ;  
                 & l t ; s t r i n g & g t ; c r i _ i d & l t ; / s t r i n g & g t ;  
             & l t ; / k e y & g t ;  
             & l t ; v a l u e & g t ;  
                 & l t ; i n t & g t ; 1 & l t ; / i n t & g t ;  
             & l t ; / v a l u e & g t ;  
         & l t ; / i t e m & g t ;  
         & l t ; i t e m & g t ;  
             & l t ; k e y & g t ;  
                 & l t ; s t r i n g & g t ; d r _ i d & l t ; / s t r i n g & g t ;  
             & l t ; / k e y & g t ;  
             & l t ; v a l u e & g t ;  
                 & l t ; i n t & g t ; 2 & l t ; / i n t & g t ;  
             & l t ; / v a l u e & g t ;  
         & l t ; / i t e m & g t ;  
         & l t ; i t e m & g t ;  
             & l t ; k e y & g t ;  
                 & l t ; s t r i n g & g t ; o r g _ i d & l t ; / s t r i n g & g t ;  
             & l t ; / k e y & g t ;  
             & l t ; v a l u e & g t ;  
                 & l t ; i n t & g t ; 3 & l t ; / i n t & g t ;  
             & l t ; / v a l u e & g t ;  
         & l t ; / i t e m & g t ;  
         & l t ; i t e m & g t ;  
             & l t ; k e y & g t ;  
                 & l t ; s t r i n g & g t ; c r i _ d a t a p e r i o d s t a r t & l t ; / s t r i n g & g t ;  
             & l t ; / k e y & g t ;  
             & l t ; v a l u e & g t ;  
                 & l t ; i n t & g t ; 4 & l t ; / i n t & g t ;  
             & l t ; / v a l u e & g t ;  
         & l t ; / i t e m & g t ;  
         & l t ; i t e m & g t ;  
             & l t ; k e y & g t ;  
                 & l t ; s t r i n g & g t ; C o d e & l t ; / s t r i n g & g t ;  
             & l t ; / k e y & g t ;  
             & l t ; v a l u e & g t ;  
                 & l t ; i n t & g t ; 5 & l t ; / i n t & g t ;  
             & l t ; / v a l u e & g t ;  
         & l t ; / i t e m & g t ;  
         & l t ; i t e m & g t ;  
             & l t ; k e y & g t ;  
                 & l t ; s t r i n g & g t ; N a m e & l t ; / s t r i n g & g t ;  
             & l t ; / k e y & g t ;  
             & l t ; v a l u e & g t ;  
                 & l t ; i n t & g t ; 6 & l t ; / i n t & g t ;  
             & l t ; / v a l u e & g t ;  
         & l t ; / i t e m & g t ;  
         & l t ; i t e m & g t ;  
             & l t ; k e y & g t ;  
                 & l t ; s t r i n g & g t ; D a t e & l t ; / s t r i n g & g t ;  
             & l t ; / k e y & g t ;  
             & l t ; v a l u e & g t ;  
                 & l t ; i n t & g t ; 7 & l t ; / i n t & g t ;  
             & l t ; / v a l u e & g t ;  
         & l t ; / i t e m & g t ;  
         & l t ; i t e m & g t ;  
             & l t ; k e y & g t ;  
                 & l t ; s t r i n g & g t ; W e e k & l t ; / s t r i n g & g t ;  
             & l t ; / k e y & g t ;  
             & l t ; v a l u e & g t ;  
                 & l t ; i n t & g t ; 8 & l t ; / i n t & g t ;  
             & l t ; / v a l u e & g t ;  
         & l t ; / i t e m & g t ;  
         & l t ; i t e m & g t ;  
             & l t ; k e y & g t ;  
                 & l t ; s t r i n g & g t ; D a y & l t ; / s t r i n g & g t ;  
             & l t ; / k e y & g t ;  
             & l t ; v a l u e & g t ;  
                 & l t ; i n t & g t ; 9 & l t ; / i n t & g t ;  
             & l t ; / v a l u e & g t ;  
         & l t ; / i t e m & g t ;  
         & l t ; i t e m & g t ;  
             & l t ; k e y & g t ;  
                 & l t ; s t r i n g & g t ; B a n k   h o l i d a y & l t ; / s t r i n g & g t ;  
             & l t ; / k e y & g t ;  
             & l t ; v a l u e & g t ;  
                 & l t ; i n t & g t ; 1 0 & l t ; / i n t & g t ;  
             & l t ; / v a l u e & g t ;  
         & l t ; / i t e m & g t ;  
         & l t ; i t e m & g t ;  
             & l t ; k e y & g t ;  
                 & l t ; s t r i n g & g t ; A & a m p ; a m p ; E   c l o s u r e s & l t ; / s t r i n g & g t ;  
             & l t ; / k e y & g t ;  
             & l t ; v a l u e & g t ;  
                 & l t ; i n t & g t ; 1 1 & l t ; / i n t & g t ;  
             & l t ; / v a l u e & g t ;  
         & l t ; / i t e m & g t ;  
         & l t ; i t e m & g t ;  
             & l t ; k e y & g t ;  
                 & l t ; s t r i n g & g t ; A & a m p ; a m p ; E   d i v e r t s & l t ; / s t r i n g & g t ;  
             & l t ; / k e y & g t ;  
             & l t ; v a l u e & g t ;  
                 & l t ; i n t & g t ; 1 2 & l t ; / i n t & g t ;  
             & l t ; / v a l u e & g t ;  
         & l t ; / i t e m & g t ;  
         & l t ; i t e m & g t ;  
             & l t ; k e y & g t ;  
                 & l t ; s t r i n g & g t ; A & a m p ; a m p ; E   t y p e   1   a t t e n d a n c e s & l t ; / s t r i n g & g t ;  
             & l t ; / k e y & g t ;  
             & l t ; v a l u e & g t ;  
                 & l t ; i n t & g t ; 1 3 & l t ; / i n t & g t ;  
             & l t ; / v a l u e & g t ;  
         & l t ; / i t e m & g t ;  
         & l t ; i t e m & g t ;  
             & l t ; k e y & g t ;  
                 & l t ; s t r i n g & g t ; A & a m p ; a m p ; E   t y p e   2   a t t e n d a n c e s & l t ; / s t r i n g & g t ;  
             & l t ; / k e y & g t ;  
             & l t ; v a l u e & g t ;  
                 & l t ; i n t & g t ; 1 4 & l t ; / i n t & g t ;  
             & l t ; / v a l u e & g t ;  
         & l t ; / i t e m & g t ;  
         & l t ; i t e m & g t ;  
             & l t ; k e y & g t ;  
                 & l t ; s t r i n g & g t ; A & a m p ; a m p ; E   t y p e   3   a t t e n d a n c e s & l t ; / s t r i n g & g t ;  
             & l t ; / k e y & g t ;  
             & l t ; v a l u e & g t ;  
                 & l t ; i n t & g t ; 1 5 & l t ; / i n t & g t ;  
             & l t ; / v a l u e & g t ;  
         & l t ; / i t e m & g t ;  
         & l t ; i t e m & g t ;  
             & l t ; k e y & g t ;  
                 & l t ; s t r i n g & g t ; A & a m p ; a m p ; E   t o t a l   a t t e n d a n c e s & l t ; / s t r i n g & g t ;  
             & l t ; / k e y & g t ;  
             & l t ; v a l u e & g t ;  
                 & l t ; i n t & g t ; 1 6 & l t ; / i n t & g t ;  
             & l t ; / v a l u e & g t ;  
         & l t ; / i t e m & g t ;  
         & l t ; i t e m & g t ;  
             & l t ; k e y & g t ;  
                 & l t ; s t r i n g & g t ; E m e r g e n c y   a d m i s s i o n s & l t ; / s t r i n g & g t ;  
             & l t ; / k e y & g t ;  
             & l t ; v a l u e & g t ;  
                 & l t ; i n t & g t ; 1 7 & l t ; / i n t & g t ;  
             & l t ; / v a l u e & g t ;  
         & l t ; / i t e m & g t ;  
         & l t ; i t e m & g t ;  
             & l t ; k e y & g t ;  
                 & l t ; s t r i n g & g t ; G & a m p ; a m p ; A   c o r e   b e d s   a v a i l & l t ; / s t r i n g & g t ;  
             & l t ; / k e y & g t ;  
             & l t ; v a l u e & g t ;  
                 & l t ; i n t & g t ; 1 8 & l t ; / i n t & g t ;  
             & l t ; / v a l u e & g t ;  
         & l t ; / i t e m & g t ;  
         & l t ; i t e m & g t ;  
             & l t ; k e y & g t ;  
                 & l t ; s t r i n g & g t ; G & a m p ; a m p ; A   e s c a l a t i o n   b e d s   a v a i l & l t ; / s t r i n g & g t ;  
             & l t ; / k e y & g t ;  
             & l t ; v a l u e & g t ;  
                 & l t ; i n t & g t ; 1 9 & l t ; / i n t & g t ;  
             & l t ; / v a l u e & g t ;  
         & l t ; / i t e m & g t ;  
         & l t ; i t e m & g t ;  
             & l t ; k e y & g t ;  
                 & l t ; s t r i n g & g t ; G & a m p ; a m p ; A   t o t a l   b e d s   a v a i l & l t ; / s t r i n g & g t ;  
             & l t ; / k e y & g t ;  
             & l t ; v a l u e & g t ;  
                 & l t ; i n t & g t ; 2 0 & l t ; / i n t & g t ;  
             & l t ; / v a l u e & g t ;  
         & l t ; / i t e m & g t ;  
         & l t ; i t e m & g t ;  
             & l t ; k e y & g t ;  
                 & l t ; s t r i n g & g t ; G & a m p ; a m p ; A   t o t a l   b e d s   o c c u p i e d & l t ; / s t r i n g & g t ;  
             & l t ; / k e y & g t ;  
             & l t ; v a l u e & g t ;  
                 & l t ; i n t & g t ; 2 1 & l t ; / i n t & g t ;  
             & l t ; / v a l u e & g t ;  
         & l t ; / i t e m & g t ;  
         & l t ; i t e m & g t ;  
             & l t ; k e y & g t ;  
                 & l t ; s t r i n g & g t ; B e d s   c l o s e d   n o r o v i r u s & l t ; / s t r i n g & g t ;  
             & l t ; / k e y & g t ;  
             & l t ; v a l u e & g t ;  
                 & l t ; i n t & g t ; 2 2 & l t ; / i n t & g t ;  
             & l t ; / v a l u e & g t ;  
         & l t ; / i t e m & g t ;  
         & l t ; i t e m & g t ;  
             & l t ; k e y & g t ;  
                 & l t ; s t r i n g & g t ; B e d s   c l o s e d   n o r o v i u s   u n o c c & l t ; / s t r i n g & g t ;  
             & l t ; / k e y & g t ;  
             & l t ; v a l u e & g t ;  
                 & l t ; i n t & g t ; 2 3 & l t ; / i n t & g t ;  
             & l t ; / v a l u e & g t ;  
         & l t ; / i t e m & g t ;  
         & l t ; i t e m & g t ;  
             & l t ; k e y & g t ;  
                 & l t ; s t r i n g & g t ; A d u l t   C C   b e d s   a v a i l & l t ; / s t r i n g & g t ;  
             & l t ; / k e y & g t ;  
             & l t ; v a l u e & g t ;  
                 & l t ; i n t & g t ; 2 4 & l t ; / i n t & g t ;  
             & l t ; / v a l u e & g t ;  
         & l t ; / i t e m & g t ;  
         & l t ; i t e m & g t ;  
             & l t ; k e y & g t ;  
                 & l t ; s t r i n g & g t ; A d u l t   C C   b e d s   o c c & l t ; / s t r i n g & g t ;  
             & l t ; / k e y & g t ;  
             & l t ; v a l u e & g t ;  
                 & l t ; i n t & g t ; 2 5 & l t ; / i n t & g t ;  
             & l t ; / v a l u e & g t ;  
         & l t ; / i t e m & g t ;  
         & l t ; i t e m & g t ;  
             & l t ; k e y & g t ;  
                 & l t ; s t r i n g & g t ; P a e d   I n t   C a r e   A v a i l & l t ; / s t r i n g & g t ;  
             & l t ; / k e y & g t ;  
             & l t ; v a l u e & g t ;  
                 & l t ; i n t & g t ; 2 6 & l t ; / i n t & g t ;  
             & l t ; / v a l u e & g t ;  
         & l t ; / i t e m & g t ;  
         & l t ; i t e m & g t ;  
             & l t ; k e y & g t ;  
                 & l t ; s t r i n g & g t ; P a e d   I n t   C a r e   O c c & l t ; / s t r i n g & g t ;  
             & l t ; / k e y & g t ;  
             & l t ; v a l u e & g t ;  
                 & l t ; i n t & g t ; 2 7 & l t ; / i n t & g t ;  
             & l t ; / v a l u e & g t ;  
         & l t ; / i t e m & g t ;  
         & l t ; i t e m & g t ;  
             & l t ; k e y & g t ;  
                 & l t ; s t r i n g & g t ; N e o   I n t   C a r e   A v a i l & l t ; / s t r i n g & g t ;  
             & l t ; / k e y & g t ;  
             & l t ; v a l u e & g t ;  
                 & l t ; i n t & g t ; 2 8 & l t ; / i n t & g t ;  
             & l t ; / v a l u e & g t ;  
         & l t ; / i t e m & g t ;  
         & l t ; i t e m & g t ;  
             & l t ; k e y & g t ;  
                 & l t ; s t r i n g & g t ; N e o   I n t   C a r e   o c c & l t ; / s t r i n g & g t ;  
             & l t ; / k e y & g t ;  
             & l t ; v a l u e & g t ;  
                 & l t ; i n t & g t ; 2 9 & l t ; / i n t & g t ;  
             & l t ; / v a l u e & g t ;  
         & l t ; / i t e m & g t ;  
         & l t ; i t e m & g t ;  
             & l t ; k e y & g t ;  
                 & l t ; s t r i n g & g t ; O P E L   3   o r   a b o v e & l t ; / s t r i n g & g t ;  
             & l t ; / k e y & g t ;  
             & l t ; v a l u e & g t ;  
                 & l t ; i n t & g t ; 3 0 & l t ; / i n t & g t ;  
             & l t ; / v a l u e & g t ;  
         & l t ; / i t e m & g t ;  
         & l t ; i t e m & g t ;  
             & l t ; k e y & g t ;  
                 & l t ; s t r i n g & g t ; W e e k e n d & l t ; / s t r i n g & g t ;  
             & l t ; / k e y & g t ;  
             & l t ; v a l u e & g t ;  
                 & l t ; i n t & g t ; 3 1 & l t ; / i n t & g t ;  
             & l t ; / v a l u e & g t ;  
         & l t ; / i t e m & g t ;  
         & l t ; i t e m & g t ;  
             & l t ; k e y & g t ;  
                 & l t ; s t r i n g & g t ; R e g i o n & l t ; / s t r i n g & g t ;  
             & l t ; / k e y & g t ;  
             & l t ; v a l u e & g t ;  
                 & l t ; i n t & g t ; 3 2 & l t ; / i n t & g t ;  
             & l t ; / v a l u e & g t ;  
         & l t ; / i t e m & g t ;  
         & l t ; i t e m & g t ;  
             & l t ; k e y & g t ;  
                 & l t ; s t r i n g & g t ; Y e a r & l t ; / s t r i n g & g t ;  
             & l t ; / k e y & g t ;  
             & l t ; v a l u e & g t ;  
                 & l t ; i n t & g t ; 3 3 & l t ; / i n t & g t ;  
             & l t ; / v a l u e & g t ;  
         & l t ; / i t e m & g t ;  
         & l t ; i t e m & g t ;  
             & l t ; k e y & g t ;  
                 & l t ; s t r i n g & g t ; B e d s   o c c   o v e r   7   d a y s & l t ; / s t r i n g & g t ;  
             & l t ; / k e y & g t ;  
             & l t ; v a l u e & g t ;  
                 & l t ; i n t & g t ; 3 4 & l t ; / i n t & g t ;  
             & l t ; / v a l u e & g t ;  
         & l t ; / i t e m & g t ;  
         & l t ; i t e m & g t ;  
             & l t ; k e y & g t ;  
                 & l t ; s t r i n g & g t ; B e d s   o c c   o v e r   2 1   d a y s & l t ; / s t r i n g & g t ;  
             & l t ; / k e y & g t ;  
             & l t ; v a l u e & g t ;  
                 & l t ; i n t & g t ; 3 5 & l t ; / i n t & g t ;  
             & l t ; / v a l u e & g t ;  
         & l t ; / i t e m & g t ;  
         & l t ; i t e m & g t ;  
             & l t ; k e y & g t ;  
                 & l t ; s t r i n g & g t ; A m b   a r r i v a l s & l t ; / s t r i n g & g t ;  
             & l t ; / k e y & g t ;  
             & l t ; v a l u e & g t ;  
                 & l t ; i n t & g t ; 3 6 & l t ; / i n t & g t ;  
             & l t ; / v a l u e & g t ;  
         & l t ; / i t e m & g t ;  
         & l t ; i t e m & g t ;  
             & l t ; k e y & g t ;  
                 & l t ; s t r i n g & g t ; A m b   d e l a y s   3 0 - 6 0   m i n s & l t ; / s t r i n g & g t ;  
             & l t ; / k e y & g t ;  
             & l t ; v a l u e & g t ;  
                 & l t ; i n t & g t ; 3 7 & l t ; / i n t & g t ;  
             & l t ; / v a l u e & g t ;  
         & l t ; / i t e m & g t ;  
         & l t ; i t e m & g t ;  
             & l t ; k e y & g t ;  
                 & l t ; s t r i n g & g t ; A m b   d e l a y s   o v e r   6 0   m i n s & l t ; / s t r i n g & g t ;  
             & l t ; / k e y & g t ;  
             & l t ; v a l u e & g t ;  
                 & l t ; i n t & g t ; 3 8 & l t ; / i n t & g t ;  
             & l t ; / v a l u e & g t ;  
         & l t ; / i t e m & g t ;  
         & l t ; i t e m & g t ;  
             & l t ; k e y & g t ;  
                 & l t ; s t r i n g & g t ; B e d s   o c c   o v e r   1 4   d a y s & l t ; / s t r i n g & g t ;  
             & l t ; / k e y & g t ;  
             & l t ; v a l u e & g t ;  
                 & l t ; i n t & g t ; 3 9 & l t ; / i n t & g t ;  
             & l t ; / v a l u e & g t ;  
         & l t ; / i t e m & g t ;  
     & l t ; / C o l u m n D i s p l a y I n d e x & g t ;  
     & l t ; C o l u m n F r o z e n   / & g t ;  
     & l t ; C o l u m n C h e c k e d & g t ;  
         & l t ; i t e m & g t ;  
             & l t ; k e y & g t ;  
                 & l t ; s t r i n g & g t ; B e d s   o c c   o v e r   1 4   d a y s & l t ; / s t r i n g & g t ; 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 I D < / A t t r i b u t e I D > < O v e r r i d e B e h a v i o r > N o n e < / O v e r r i d e B e h a v i o r > < N a m e > I D _ < / N a m e > < / A t t r i b u t e R e l a t i o n s h i p > < A t t r i b u t e R e l a t i o n s h i p > < A t t r i b u t e I D > c r i _ i d < / A t t r i b u t e I D > < O v e r r i d e B e h a v i o r > N o n e < / O v e r r i d e B e h a v i o r > < N a m e > c r i _ i d < / N a m e > < / A t t r i b u t e R e l a t i o n s h i p > < A t t r i b u t e R e l a t i o n s h i p > < A t t r i b u t e I D > d r _ i d < / A t t r i b u t e I D > < O v e r r i d e B e h a v i o r > N o n e < / O v e r r i d e B e h a v i o r > < N a m e > d r _ i d < / N a m e > < / A t t r i b u t e R e l a t i o n s h i p > < A t t r i b u t e R e l a t i o n s h i p > < A t t r i b u t e I D > o r g _ i d < / A t t r i b u t e I D > < O v e r r i d e B e h a v i o r > N o n e < / O v e r r i d e B e h a v i o r > < N a m e > o r g _ i d < / N a m e > < / A t t r i b u t e R e l a t i o n s h i p > < A t t r i b u t e R e l a t i o n s h i p > < A t t r i b u t e I D > c r i _ d a t a p e r i o d s t a r t < / A t t r i b u t e I D > < O v e r r i d e B e h a v i o r > N o n e < / O v e r r i d e B e h a v i o r > < N a m e > c r i _ d a t a p e r i o d s t a r t < / 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 B a n k   h o l i d a y < / A t t r i b u t e I D > < O v e r r i d e B e h a v i o r > N o n e < / O v e r r i d e B e h a v i o r > < N a m e > B a n k   h o l i d a y < / N a m e > < / A t t r i b u t e R e l a t i o n s h i p > < A t t r i b u t e R e l a t i o n s h i p > < A t t r i b u t e I D > A E   c l o s u r e s < / A t t r i b u t e I D > < O v e r r i d e B e h a v i o r > N o n e < / O v e r r i d e B e h a v i o r > < N a m e > A E   c l o s u r e s < / N a m e > < / A t t r i b u t e R e l a t i o n s h i p > < A t t r i b u t e R e l a t i o n s h i p > < A t t r i b u t e I D > A E   d i v e r t s < / A t t r i b u t e I D > < O v e r r i d e B e h a v i o r > N o n e < / O v e r r i d e B e h a v i o r > < N a m e > A E   d i v e r t s < / N a m e > < / A t t r i b u t e R e l a t i o n s h i p > < A t t r i b u t e R e l a t i o n s h i p > < A t t r i b u t e I D > A E   t y p e   1   a t t e n d a n c e s < / A t t r i b u t e I D > < O v e r r i d e B e h a v i o r > N o n e < / O v e r r i d e B e h a v i o r > < N a m e > A E   t y p e   1   a t t e n d a n c e s < / N a m e > < / A t t r i b u t e R e l a t i o n s h i p > < A t t r i b u t e R e l a t i o n s h i p > < A t t r i b u t e I D > A E   t y p e   2   a t t e n d a n c e s < / A t t r i b u t e I D > < O v e r r i d e B e h a v i o r > N o n e < / O v e r r i d e B e h a v i o r > < N a m e > A E   t y p e   2   a t t e n d a n c e s < / N a m e > < / A t t r i b u t e R e l a t i o n s h i p > < A t t r i b u t e R e l a t i o n s h i p > < A t t r i b u t e I D > A E   t y p e   3   a t t e n d a n c e s < / A t t r i b u t e I D > < O v e r r i d e B e h a v i o r > N o n e < / O v e r r i d e B e h a v i o r > < N a m e > A E   t y p e   3   a t t e n d a n c e s < / N a m e > < / A t t r i b u t e R e l a t i o n s h i p > < A t t r i b u t e R e l a t i o n s h i p > < A t t r i b u t e I D > A E   t o t a l   a t t e n d a n c e s < / A t t r i b u t e I D > < O v e r r i d e B e h a v i o r > N o n e < / O v e r r i d e B e h a v i o r > < N a m e > A E   t o t a l   a t t e n d a n c e s < / N a m e > < / A t t r i b u t e R e l a t i o n s h i p > < A t t r i b u t e R e l a t i o n s h i p > < A t t r i b u t e I D > E m e r g e n c y   a d m i s s i o n s < / A t t r i b u t e I D > < O v e r r i d e B e h a v i o r > N o n e < / O v e r r i d e B e h a v i o r > < N a m e > E m e r g e n c y   a d m i s s i o n s < / N a m e > < / A t t r i b u t e R e l a t i o n s h i p > < A t t r i b u t e R e l a t i o n s h i p > < A t t r i b u t e I D > G A   c o r e   b e d s   a v a i l < / A t t r i b u t e I D > < O v e r r i d e B e h a v i o r > N o n e < / O v e r r i d e B e h a v i o r > < N a m e > G A   c o r e   b e d s   a v a i l < / N a m e > < / A t t r i b u t e R e l a t i o n s h i p > < A t t r i b u t e R e l a t i o n s h i p > < A t t r i b u t e I D > G A   e s c a l a t i o n   b e d s   a v a i l < / A t t r i b u t e I D > < O v e r r i d e B e h a v i o r > N o n e < / O v e r r i d e B e h a v i o r > < N a m e > G A   e s c a l a t i o n   b e d s   a v a i l < / N a m e > < / A t t r i b u t e R e l a t i o n s h i p > < A t t r i b u t e R e l a t i o n s h i p > < A t t r i b u t e I D > G A   t o t a l   b e d s   a v a i l < / A t t r i b u t e I D > < O v e r r i d e B e h a v i o r > N o n e < / O v e r r i d e B e h a v i o r > < N a m e > G A   t o t a l   b e d s   a v a i l < / N a m e > < / A t t r i b u t e R e l a t i o n s h i p > < A t t r i b u t e R e l a t i o n s h i p > < A t t r i b u t e I D > G A   t o t a l   b e d s   o c c u p i e d < / A t t r i b u t e I D > < O v e r r i d e B e h a v i o r > N o n e < / O v e r r i d e B e h a v i o r > < N a m e > G A   t o t a l   b e d s   o c c u p i e d < / 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 O P E L   3   o r   a b o v e < / A t t r i b u t e I D > < O v e r r i d e B e h a v i o r > N o n e < / O v e r r i d e B e h a v i o r > < N a m e > O P E L   3   o r   a b o v e < / N a m e > < / A t t r i b u t e R e l a t i o n s h i p > < A t t r i b u t e R e l a t i o n s h i p > < A t t r i b u t e I D > W e e k e n d < / A t t r i b u t e I D > < O v e r r i d e B e h a v i o r > N o n e < / O v e r r i d e B e h a v i o r > < N a m e > W e e k e n d < / N a m e > < / A t t r i b u t e R e l a t i o n s h i p > < A t t r i b u t e R e l a t i o n s h i p > < A t t r i b u t e I D > R e g i o n < / A t t r i b u t e I D > < O v e r r i d e B e h a v i o r > N o n e < / O v e r r i d e B e h a v i o r > < N a m e > R e g i o n < / N a m e > < / A t t r i b u t e R e l a t i o n s h i p > < A t t r i b u t e R e l a t i o n s h i p > < A t t r i b u t e I D > Y e a r < / A t t r i b u t e I D > < O v e r r i d e B e h a v i o r > N o n e < / O v e r r i d e B e h a v i o r > < N a m e > Y e a r < / 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 C a l c u l a t e d C o l u m n 1 < / A t t r i b u t e I D > < O v e r r i d e B e h a v i o r > N o n e < / O v e r r i d e B e h a v i o r > < N a m e > W e e k   l o n g < / N a m e > < / A t t r i b u t e R e l a t i o n s h i p > < A t t r i b u t e R e l a t i o n s h i p > < A t t r i b u t e I D > C a l c u l a t e d C o l u m n 1   1 < / A t t r i b u t e I D > < O v e r r i d e B e h a v i o r > N o n e < / O v e r r i d e B e h a v i o r > < N a m e > G A   b e d   o c c u p a n c y < / N a m e > < / A t t r i b u t e R e l a t i o n s h i p > < A t t r i b u t e R e l a t i o n s h i p > < A t t r i b u t e I D > B e d s   o c c   o v e r   1 4   d a y s < / A t t r i b u t e I D > < O v e r r i d e B e h a v i o r > N o n e < / O v e r r i d e B e h a v i o r > < N a m e > B e d s   o c c   o v e r   1 4   d a y s < / N a m e > < / A t t r i b u t e R e l a t i o n s h i p > < / A t t r i b u t e R e l a t i o n s h i p s > < O r d e r B y > K e y < / O r d e r B y > < A t t r i b u t e H i e r a r c h y V i s i b l e > f a l s e < / A t t r i b u t e H i e r a r c h y V i s i b l e > < / A t t r i b u t e > < A t t r i b u t e > < A n n o t a t i o n s > < A n n o t a t i o n > < N a m e > F o r m a t < / N a m e > < V a l u e > < F o r m a t   F o r m a t = " G e n e r a l "   x m l n s = " "   / > < / V a l u e > < / A n n o t a t i o n > < / A n n o t a t i o n s > < I D > I D < / I D > < N a m e > I D < / N a m e > < 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 I D < / C o l u m n I D > < / S o u r c e > < / N a m e C o l u m n > < O r d e r B y > K e y < / O r d e r B y > < / A t t r i b u t e > < A t t r i b u t e > < A n n o t a t i o n s > < A n n o t a t i o n > < N a m e > F o r m a t < / N a m e > < V a l u e > < F o r m a t   F o r m a t = " G e n e r a l "   x m l n s = " "   / > < / V a l u e > < / A n n o t a t i o n > < / A n n o t a t i o n s > < I D > c r i _ i d < / I D > < N a m e > c r i _ i d < / N a m e > < 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 c r i _ i d < / C o l u m n I D > < / S o u r c e > < / N a m e C o l u m n > < O r d e r B y > K e y < / O r d e r B y > < / A t t r i b u t e > < A t t r i b u t e > < A n n o t a t i o n s > < A n n o t a t i o n > < N a m e > F o r m a t < / N a m e > < V a l u e > < F o r m a t   F o r m a t = " G e n e r a l "   x m l n s = " "   / > < / V a l u e > < / A n n o t a t i o n > < / A n n o t a t i o n s > < I D > d r _ i d < / I D > < N a m e > d r _ i d < / N a m e > < 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 d r _ i d < / C o l u m n I D > < / S o u r c e > < / N a m e C o l u m n > < O r d e r B y > K e y < / O r d e r B y > < / A t t r i b u t e > < A t t r i b u t e > < A n n o t a t i o n s > < A n n o t a t i o n > < N a m e > F o r m a t < / N a m e > < V a l u e > < F o r m a t   F o r m a t = " G e n e r a l "   x m l n s = " "   / > < / V a l u e > < / A n n o t a t i o n > < / A n n o t a t i o n s > < I D > o r g _ i d < / I D > < N a m e > o r g _ i d < / N a m e > < 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 o r g _ i d < / C o l u m n I D > < / S o u r c e > < / N a m e C o l u m n > < O r d e r B y > K e y < / O r d e r B y > < / A t t r i b u t e > < A t t r i b u t e > < A n n o t a t i o n s > < A n n o t a t i o n > < N a m e > F o r m a t < / N a m e > < V a l u e > < F o r m a t   F o r m a t = " D a t e T i m e G e n e r a l "   x m l n s = " "   / > < / V a l u e > < / A n n o t a t i o n > < / A n n o t a t i o n s > < I D > c r i _ d a t a p e r i o d s t a r t < / I D > < N a m e > c r i _ d a t a p e r i o d s t a r t < / N a m e > < 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 c r i _ d a t a p e r i o d s t a r t < / C o l u m n I D > < / S o u r c e > < / N a m e C o l u m n > < O r d e r B y > K e y < / O r d e r B y > < / A t t r i b u t e > < A t t r i b u t e > < A n n o t a t i o n s > < A n n o t a t i o n > < N a m e > F o r m a t < / N a m e > < V a l u e > < F o r m a t   F o r m a t = " T e x t "   x m l n s = " "   / > < / V a l u e > < / A n n o t a t i o n > < / A n n o t a t i o n s > < I D > C o d e < / I D > < N a m e > C o d e < / N a m e > < 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 C o d e < / C o l u m n I D > < / S o u r c e > < / N a m e C o l u m n > < O r d e r B y > K e y < / O r d e r B y > < / A t t r i b u t e > < A t t r i b u t e > < A n n o t a t i o n s > < A n n o t a t i o n > < N a m e > F o r m a t < / N a m e > < V a l u e > < F o r m a t   F o r m a t = " T e x t "   x m l n s = " "   / > < / V a l u e > < / A n n o t a t i o n > < / A n n o t a t i o n s > < I D > N a m e < / I D > < N a m e > N a m e < / N a m e > < 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 N a m e < / C o l u m n I D > < / S o u r c e > < / N a m e C o l u m n > < O r d e r B y > K e y < / O r d e r B y > < / A t t r i b u t e > < A t t r i b u t e > < A n n o t a t i o n s > < A n n o t a t i o n > < N a m e > F o r m a t < / N a m e > < V a l u e > < F o r m a t   F o r m a t = " D a t e T i m e C u s t o m "   x m l n s = " " > < D a t e T i m e s > < D a t e T i m e   L C I D = " 2 0 5 7 "   G r o u p = " S h o r t D a t e "   F o r m a t S t r i n g = " d d / M M / y y "   / > < / D a t e T i m e s > < / F o r m a t > < / V a l u e > < / A n n o t a t i o n > < / A n n o t a t i o n s > < I D > D a t e < / I D > < N a m e > D a t e < / N a m e > < 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 D a t e < / C o l u m n I D > < / S o u r c e > < / N a m e C o l u m n > < O r d e r B y > K e y < / O r d e r B y > < d d l 3 0 0 _ 3 0 0 : F o r m a t S t r i n g > d d / M M / y y < / d d l 3 0 0 _ 3 0 0 : F o r m a t S t r i n g > < / A t t r i b u t e > < A t t r i b u t e > < A n n o t a t i o n s > < A n n o t a t i o n > < N a m e > F o r m a t < / N a m e > < V a l u e > < F o r m a t   F o r m a t = " G e n e r a l "   x m l n s = " "   / > < / V a l u e > < / A n n o t a t i o n > < / A n n o t a t i o n s > < I D > W e e k < / I D > < N a m e > W e e k < / N a m e > < 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C o l u m n I D > < / S o u r c e > < / N a m e C o l u m n > < O r d e r B y > K e y < / O r d e r B y > < / A t t r i b u t e > < A t t r i b u t e > < A n n o t a t i o n s > < A n n o t a t i o n > < N a m e > F o r m a t < / N a m e > < V a l u e > < F o r m a t   F o r m a t = " T e x t "   x m l n s = " "   / > < / V a l u e > < / A n n o t a t i o n > < / A n n o t a t i o n s > < I D > D a y < / I D > < N a m e > D a y < / N a m e > < 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 D a y < / C o l u m n I D > < / S o u r c e > < / N a m e C o l u m n > < O r d e r B y > K e y < / O r d e r B y > < / A t t r i b u t e > < A t t r i b u t e > < A n n o t a t i o n s > < A n n o t a t i o n > < N a m e > F o r m a t < / N a m e > < V a l u e > < F o r m a t   F o r m a t = " G e n e r a l "   x m l n s = " "   / > < / V a l u e > < / A n n o t a t i o n > < / A n n o t a t i o n s > < I D > B a n k   h o l i d a y < / I D > < N a m e > B a n k   h o l i d a y < / N a m e > < 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 B a n k _ x 0 0 2 0 _ h o l i d a y < / C o l u m n I D > < / S o u r c e > < / N a m e C o l u m n > < O r d e r B y > K e y < / O r d e r B y > < / A t t r i b u t e > < A t t r i b u t e > < A n n o t a t i o n s > < A n n o t a t i o n > < N a m e > F o r m a t < / N a m e > < V a l u e > < F o r m a t   F o r m a t = " G e n e r a l "   x m l n s = " "   / > < / V a l u e > < / A n n o t a t i o n > < / A n n o t a t i o n s > < I D > A E   c l o s u r e s < / I D > < N a m e > A E   c l o s u r e s < / N a m e > < 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 A _ x 0 0 2 6 _ E _ x 0 0 2 0 _ c l o s u r e s < / C o l u m n I D > < / S o u r c e > < / N a m e C o l u m n > < O r d e r B y > K e y < / O r d e r B y > < / A t t r i b u t e > < A t t r i b u t e > < A n n o t a t i o n s > < A n n o t a t i o n > < N a m e > F o r m a t < / N a m e > < V a l u e > < F o r m a t   F o r m a t = " G e n e r a l "   x m l n s = " "   / > < / V a l u e > < / A n n o t a t i o n > < / A n n o t a t i o n s > < I D > A E   d i v e r t s < / I D > < N a m e > A E   d i v e r t s < / N a m e > < 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 A _ x 0 0 2 6 _ E _ x 0 0 2 0 _ d i v e r t s < / C o l u m n I D > < / S o u r c e > < / N a m e C o l u m n > < O r d e r B y > K e y < / O r d e r B y > < / A t t r i b u t e > < A t t r i b u t e > < A n n o t a t i o n s > < A n n o t a t i o n > < N a m e > F o r m a t < / N a m e > < V a l u e > < F o r m a t   F o r m a t = " G e n e r a l "   x m l n s = " "   / > < / V a l u e > < / A n n o t a t i o n > < / A n n o t a t i o n s > < I D > A E   t y p e   1   a t t e n d a n c e s < / I D > < N a m e > A E   t y p e   1 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 A _ x 0 0 2 6 _ E _ x 0 0 2 0 _ t y p e _ x 0 0 2 0 _ 1 _ x 0 0 2 0 _ a t t e n d a n c e s < / C o l u m n I D > < / S o u r c e > < / N a m e C o l u m n > < O r d e r B y > K e y < / O r d e r B y > < / A t t r i b u t e > < A t t r i b u t e > < A n n o t a t i o n s > < A n n o t a t i o n > < N a m e > F o r m a t < / N a m e > < V a l u e > < F o r m a t   F o r m a t = " G e n e r a l "   x m l n s = " "   / > < / V a l u e > < / A n n o t a t i o n > < / A n n o t a t i o n s > < I D > A E   t y p e   2   a t t e n d a n c e s < / I D > < N a m e > A E   t y p e   2 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 A _ x 0 0 2 6 _ E _ x 0 0 2 0 _ t y p e _ x 0 0 2 0 _ 2 _ x 0 0 2 0 _ a t t e n d a n c e s < / C o l u m n I D > < / S o u r c e > < / N a m e C o l u m n > < O r d e r B y > K e y < / O r d e r B y > < / A t t r i b u t e > < A t t r i b u t e > < A n n o t a t i o n s > < A n n o t a t i o n > < N a m e > F o r m a t < / N a m e > < V a l u e > < F o r m a t   F o r m a t = " G e n e r a l "   x m l n s = " "   / > < / V a l u e > < / A n n o t a t i o n > < / A n n o t a t i o n s > < I D > A E   t y p e   3   a t t e n d a n c e s < / I D > < N a m e > A E   t y p e   3 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 A _ x 0 0 2 6 _ E _ x 0 0 2 0 _ t y p e _ x 0 0 2 0 _ 3 _ x 0 0 2 0 _ a t t e n d a n c e s < / C o l u m n I D > < / S o u r c e > < / N a m e C o l u m n > < O r d e r B y > K e y < / O r d e r B y > < / A t t r i b u t e > < A t t r i b u t e > < A n n o t a t i o n s > < A n n o t a t i o n > < N a m e > F o r m a t < / N a m e > < V a l u e > < F o r m a t   F o r m a t = " G e n e r a l "   x m l n s = " "   / > < / V a l u e > < / A n n o t a t i o n > < / A n n o t a t i o n s > < I D > A E   t o t a l   a t t e n d a n c e s < / I D > < N a m e > A E   t o t a l 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 A _ x 0 0 2 6 _ E _ x 0 0 2 0 _ t o t a l _ x 0 0 2 0 _ a t t e n d a n c e s < / C o l u m n I D > < / S o u r c e > < / N a m e C o l u m n > < O r d e r B y > K e y < / O r d e r B y > < / A t t r i b u t e > < A t t r i b u t e > < A n n o t a t i o n s > < A n n o t a t i o n > < N a m e > F o r m a t < / N a m e > < V a l u e > < F o r m a t   F o r m a t = " G e n e r a l "   x m l n s = " "   / > < / V a l u e > < / A n n o t a t i o n > < / A n n o t a t i o n s > < I D > E m e r g e n c y   a d m i s s i o n s < / I D > < N a m e > E m e r g e n c y   a d m i s s i o n s < / N a m e > < 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 E m e r g e n c y _ x 0 0 2 0 _ a d m i s s i o n s < / C o l u m n I D > < / S o u r c e > < / N a m e C o l u m n > < O r d e r B y > K e y < / O r d e r B y > < / A t t r i b u t e > < A t t r i b u t e > < A n n o t a t i o n s > < A n n o t a t i o n > < N a m e > F o r m a t < / N a m e > < V a l u e > < F o r m a t   F o r m a t = " G e n e r a l "   x m l n s = " "   / > < / V a l u e > < / A n n o t a t i o n > < / A n n o t a t i o n s > < I D > G A   c o r e   b e d s   a v a i l < / I D > < N a m e > G A   c o r e 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 G _ x 0 0 2 6 _ A _ x 0 0 2 0 _ c o r e _ x 0 0 2 0 _ b e d s _ x 0 0 2 0 _ a v a i l < / C o l u m n I D > < / S o u r c e > < / N a m e C o l u m n > < O r d e r B y > K e y < / O r d e r B y > < / A t t r i b u t e > < A t t r i b u t e > < A n n o t a t i o n s > < A n n o t a t i o n > < N a m e > F o r m a t < / N a m e > < V a l u e > < F o r m a t   F o r m a t = " G e n e r a l "   x m l n s = " "   / > < / V a l u e > < / A n n o t a t i o n > < / A n n o t a t i o n s > < I D > G A   e s c a l a t i o n   b e d s   a v a i l < / I D > < N a m e > G A   e s c a l a t i o n 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 G _ x 0 0 2 6 _ A _ x 0 0 2 0 _ e s c a l a t i o n _ x 0 0 2 0 _ b e d s _ x 0 0 2 0 _ a v a i l < / C o l u m n I D > < / S o u r c e > < / N a m e C o l u m n > < O r d e r B y > K e y < / O r d e r B y > < / A t t r i b u t e > < A t t r i b u t e > < A n n o t a t i o n s > < A n n o t a t i o n > < N a m e > F o r m a t < / N a m e > < V a l u e > < F o r m a t   F o r m a t = " G e n e r a l "   x m l n s = " "   / > < / V a l u e > < / A n n o t a t i o n > < / A n n o t a t i o n s > < I D > G A   t o t a l   b e d s   a v a i l < / I D > < N a m e > G A   t o t a l 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 G _ x 0 0 2 6 _ A _ x 0 0 2 0 _ t o t a l _ x 0 0 2 0 _ b e d s _ x 0 0 2 0 _ a v a i l < / C o l u m n I D > < / S o u r c e > < / N a m e C o l u m n > < O r d e r B y > K e y < / O r d e r B y > < / A t t r i b u t e > < A t t r i b u t e > < A n n o t a t i o n s > < A n n o t a t i o n > < N a m e > F o r m a t < / N a m e > < V a l u e > < F o r m a t   F o r m a t = " G e n e r a l "   x m l n s = " "   / > < / V a l u e > < / A n n o t a t i o n > < / A n n o t a t i o n s > < I D > G A   t o t a l   b e d s   o c c u p i e d < / I D > < N a m e > G A   t o t a l   b e d s   o c c u p i e d < / 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 G _ x 0 0 2 6 _ A _ x 0 0 2 0 _ t o t a l _ x 0 0 2 0 _ b e d s _ x 0 0 2 0 _ o c c u p i e d < / C o l u m n I D > < / S o u r c e > < / N a m e C o l u m n > < O r d e r B y > K e y < / O r d e r B y > < / A t t r i b u t e > < A t t r i b u t e > < A n n o t a t i o n s > < A n n o t a t i o n > < N a m e > F o r m a t < / N a m e > < V a l u e > < F o r m a t   F o r m a t = " G e n e r a l "   x m l n s = " "   / > < / V a l u e > < / A n n o t a t i o n > < / A n n o t a t i o n s > < I D > B e d s   c l o s e d   n o r o v i r u s < / I D > < N a m e > B e d s   c l o s e d   n o r o v i r u s < / 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 B e d s _ x 0 0 2 0 _ c l o s e d _ x 0 0 2 0 _ n o r o v i r u s < / C o l u m n I D > < / S o u r c e > < / N a m e C o l u m n > < O r d e r B y > K e y < / O r d e r B y > < / A t t r i b u t e > < A t t r i b u t e > < A n n o t a t i o n s > < A n n o t a t i o n > < N a m e > F o r m a t < / N a m e > < V a l u e > < F o r m a t   F o r m a t = " G e n e r a l "   x m l n s = " "   / > < / V a l u e > < / A n n o t a t i o n > < / A n n o t a t i o n s > < I D > B e d s   c l o s e d   n o r o v i u s   u n o c c < / I D > < N a m e > B e d s   c l o s e d   n o r o v i u s   u n o c c < / 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 B e d s _ x 0 0 2 0 _ c l o s e d _ x 0 0 2 0 _ n o r o v i u s _ x 0 0 2 0 _ u n o c c < / C o l u m n I D > < / S o u r c e > < / N a m e C o l u m n > < O r d e r B y > K e y < / O r d e r B y > < / A t t r i b u t e > < A t t r i b u t e > < A n n o t a t i o n s > < A n n o t a t i o n > < N a m e > F o r m a t < / N a m e > < V a l u e > < F o r m a t   F o r m a t = " G e n e r a l "   x m l n s = " "   / > < / V a l u e > < / A n n o t a t i o n > < / A n n o t a t i o n s > < I D > A d u l t   C C   b e d s   a v a i l < / I D > < N a m e > A d u l t   C C   b e d s   a v a i l < / 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 A d u l t _ x 0 0 2 0 _ C C _ x 0 0 2 0 _ b e d s _ x 0 0 2 0 _ a v a i l < / C o l u m n I D > < / S o u r c e > < / N a m e C o l u m n > < O r d e r B y > K e y < / O r d e r B y > < / A t t r i b u t e > < A t t r i b u t e > < A n n o t a t i o n s > < A n n o t a t i o n > < N a m e > F o r m a t < / N a m e > < V a l u e > < F o r m a t   F o r m a t = " G e n e r a l "   x m l n s = " "   / > < / V a l u e > < / A n n o t a t i o n > < / A n n o t a t i o n s > < I D > A d u l t   C C   b e d s   o c c < / I D > < N a m e > A d u l t   C C   b e d s   o c c < / 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 A d u l t _ x 0 0 2 0 _ C C _ x 0 0 2 0 _ b e d s _ x 0 0 2 0 _ o c c < / C o l u m n I D > < / S o u r c e > < / N a m e C o l u m n > < O r d e r B y > K e y < / O r d e r B y > < / A t t r i b u t e > < A t t r i b u t e > < A n n o t a t i o n s > < A n n o t a t i o n > < N a m e > F o r m a t < / N a m e > < V a l u e > < F o r m a t   F o r m a t = " G e n e r a l "   x m l n s = " "   / > < / V a l u e > < / A n n o t a t i o n > < / A n n o t a t i o n s > < I D > P a e d   I n t   C a r e   A v a i l < / I D > < N a m e > P a e d   I n t   C a r e   A v a i l < / 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 P a e d _ x 0 0 2 0 _ I n t _ x 0 0 2 0 _ C a r e _ x 0 0 2 0 _ A v a i l < / C o l u m n I D > < / S o u r c e > < / N a m e C o l u m n > < O r d e r B y > K e y < / O r d e r B y > < / A t t r i b u t e > < A t t r i b u t e > < A n n o t a t i o n s > < A n n o t a t i o n > < N a m e > F o r m a t < / N a m e > < V a l u e > < F o r m a t   F o r m a t = " G e n e r a l "   x m l n s = " "   / > < / V a l u e > < / A n n o t a t i o n > < / A n n o t a t i o n s > < I D > P a e d   I n t   C a r e   O c c < / I D > < N a m e > P a e d   I n t   C a r e   O c c < / 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 P a e d _ x 0 0 2 0 _ I n t _ x 0 0 2 0 _ C a r e _ x 0 0 2 0 _ O c c < / C o l u m n I D > < / S o u r c e > < / N a m e C o l u m n > < O r d e r B y > K e y < / O r d e r B y > < / A t t r i b u t e > < A t t r i b u t e > < A n n o t a t i o n s > < A n n o t a t i o n > < N a m e > F o r m a t < / N a m e > < V a l u e > < F o r m a t   F o r m a t = " G e n e r a l "   x m l n s = " "   / > < / V a l u e > < / A n n o t a t i o n > < / A n n o t a t i o n s > < I D > N e o   I n t   C a r e   A v a i l < / I D > < N a m e > N e o   I n t   C a r e   A v a i l < / 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 N e o _ x 0 0 2 0 _ I n t _ x 0 0 2 0 _ C a r e _ x 0 0 2 0 _ A v a i l < / C o l u m n I D > < / S o u r c e > < / N a m e C o l u m n > < O r d e r B y > K e y < / O r d e r B y > < / A t t r i b u t e > < A t t r i b u t e > < A n n o t a t i o n s > < A n n o t a t i o n > < N a m e > F o r m a t < / N a m e > < V a l u e > < F o r m a t   F o r m a t = " G e n e r a l "   x m l n s = " "   / > < / V a l u e > < / A n n o t a t i o n > < / A n n o t a t i o n s > < I D > N e o   I n t   C a r e   o c c < / I D > < N a m e > N e o   I n t   C a r e   o c c < / 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 N e o _ x 0 0 2 0 _ I n t _ x 0 0 2 0 _ C a r e _ x 0 0 2 0 _ o c c < / C o l u m n I D > < / S o u r c e > < / N a m e C o l u m n > < O r d e r B y > K e y < / O r d e r B y > < / A t t r i b u t e > < A t t r i b u t e > < A n n o t a t i o n s > < A n n o t a t i o n > < N a m e > F o r m a t < / N a m e > < V a l u e > < F o r m a t   F o r m a t = " G e n e r a l "   x m l n s = " "   / > < / V a l u e > < / A n n o t a t i o n > < / A n n o t a t i o n s > < I D > O P E L   3   o r   a b o v e < / I D > < N a m e > O P E L   3   o r   a b o v e < / N a m e > < 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 O P E L _ x 0 0 2 0 _ 3 _ x 0 0 2 0 _ o r _ x 0 0 2 0 _ a b o v e < / C o l u m n I D > < / S o u r c e > < / N a m e C o l u m n > < O r d e r B y > K e y < / O r d e r B y > < / A t t r i b u t e > < A t t r i b u t e > < A n n o t a t i o n s > < A n n o t a t i o n > < N a m e > F o r m a t < / N a m e > < V a l u e > < F o r m a t   F o r m a t = " G e n e r a l "   x m l n s = " "   / > < / V a l u e > < / A n n o t a t i o n > < / A n n o t a t i o n s > < I D > W e e k e n d < / I D > < N a m e > W e e k e n d < / N a m e > < 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 W e e k e n d < / C o l u m n I D > < / S o u r c e > < / N a m e C o l u m n > < O r d e r B y > K e y < / O r d e r B y > < / A t t r i b u t e > < A t t r i b u t e > < A n n o t a t i o n s > < A n n o t a t i o n > < N a m e > F o r m a t < / N a m e > < V a l u e > < F o r m a t   F o r m a t = " T e x t "   x m l n s = " "   / > < / V a l u e > < / A n n o t a t i o n > < / A n n o t a t i o n s > < I D > R e g i o n < / I D > < N a m e > R e g i o n < / N a m e > < 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 R e g i o n < / C o l u m n I D > < / S o u r c e > < / N a m e C o l u m n > < O r d e r B y > K e y < / O r d e r B y > < / A t t r i b u t e > < A t t r i b u t e > < A n n o t a t i o n s > < A n n o t a t i o n > < N a m e > F o r m a t < / N a m e > < V a l u e > < F o r m a t   F o r m a t = " T e x t "   x m l n s = " "   / > < / V a l u e > < / A n n o t a t i o n > < / A n n o t a t i o n s > < I D > Y e a r < / I D > < N a m e > Y e a r < / N a m e > < 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 Y e a r < / C o l u m n I D > < / S o u r c e > < / N a m e C o l u m n > < O r d e r B y > K e y < / O r d e r B y > < / A t t r i b u t e > < A t t r i b u t e > < A n n o t a t i o n s > < A n n o t a t i o n > < N a m e > F o r m a t < / N a m e > < V a l u e > < F o r m a t   F o r m a t = " G e n e r a l "   x m l n s = " "   / > < / V a l u e > < / A n n o t a t i o n > < / A n n o t a t i o n s > < I D > B e d s   o c c   o v e r   7   d a y s < / I D > < N a m e > B e d s   o c c   o v e r   7 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 B e d s _ x 0 0 2 0 _ o c c _ x 0 0 2 0 _ o v e r _ x 0 0 2 0 _ 7 _ x 0 0 2 0 _ d a y s < / C o l u m n I D > < / S o u r c e > < / N a m e C o l u m n > < O r d e r B y > K e y < / O r d e r B y > < / A t t r i b u t e > < A t t r i b u t e > < A n n o t a t i o n s > < A n n o t a t i o n > < N a m e > F o r m a t < / N a m e > < V a l u e > < F o r m a t   F o r m a t = " G e n e r a l "   x m l n s = " "   / > < / V a l u e > < / A n n o t a t i o n > < / A n n o t a t i o n s > < I D > B e d s   o c c   o v e r   2 1   d a y s < / I D > < N a m e > B e d s   o c c   o v e r   2 1 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 B e d s _ x 0 0 2 0 _ o c c _ x 0 0 2 0 _ o v e r _ x 0 0 2 0 _ 2 1 _ x 0 0 2 0 _ d a y s < / C o l u m n I D > < / S o u r c e > < / N a m e C o l u m n > < O r d e r B y > K e y < / O r d e r B y > < / A t t r i b u t e > < A t t r i b u t e > < A n n o t a t i o n s > < A n n o t a t i o n > < N a m e > F o r m a t < / N a m e > < V a l u e > < F o r m a t   F o r m a t = " G e n e r a l "   x m l n s = " "   / > < / V a l u e > < / A n n o t a t i o n > < / A n n o t a t i o n s > < I D > A m b   a r r i v a l s < / I D > < N a m e > A m b   a r r i v a l s < / N a m e > < 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 A m b _ x 0 0 2 0 _ a r r i v a l s < / C o l u m n I D > < / S o u r c e > < / N a m e C o l u m n > < O r d e r B y > K e y < / O r d e r B y > < / A t t r i b u t e > < A t t r i b u t e > < A n n o t a t i o n s > < A n n o t a t i o n > < N a m e > F o r m a t < / N a m e > < V a l u e > < F o r m a t   F o r m a t = " G e n e r a l "   x m l n s = " "   / > < / V a l u e > < / A n n o t a t i o n > < / A n n o t a t i o n s > < I D > A m b   d e l a y s   3 0 - 6 0   m i n s < / I D > < N a m e > A m b   d e l a y s   3 0 - 6 0 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 A m b _ x 0 0 2 0 _ d e l a y s _ x 0 0 2 0 _ 3 0 - 6 0 _ x 0 0 2 0 _ m i n s < / C o l u m n I D > < / S o u r c e > < / N a m e C o l u m n > < O r d e r B y > K e y < / O r d e r B y > < / A t t r i b u t e > < A t t r i b u t e > < A n n o t a t i o n s > < A n n o t a t i o n > < N a m e > F o r m a t < / N a m e > < V a l u e > < F o r m a t   F o r m a t = " G e n e r a l "   x m l n s = " "   / > < / V a l u e > < / A n n o t a t i o n > < / A n n o t a t i o n s > < I D > A m b   d e l a y s   o v e r   6 0   m i n s < / I D > < N a m e > A m b   d e l a y s   o v e r   6 0 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 A m b _ x 0 0 2 0 _ d e l a y s _ x 0 0 2 0 _ o v e r _ x 0 0 2 0 _ 6 0 _ x 0 0 2 0 _ m i n s < / C o l u m n I D > < / S o u r c e > < / N a m e C o l u m n > < O r d e r B y > K e y < / O r d e r B y > < / A t t r i b u t e > < A t t r i b u t e > < A n n o t a t i o n s > < A n n o t a t i o n > < N a m e > F o r m a t < / N a m e > < V a l u e > < F o r m a t   F o r m a t = " T e x t "   x m l n s = " "   / > < / V a l u e > < / A n n o t a t i o n > < / A n n o t a t i o n s > < I D > C a l c u l a t e d C o l u m n 1 < / I D > < N a m e > W e e k   l o n g < / N a m e > < K e y C o l u m n s > < K e y C o l u m n > < D a t a T y p e > E m p t y < / D a t a T y p e > < S o u r c e   x s i : t y p e = " d d l 2 0 0 _ 2 0 0 : E x p r e s s i o n B i n d i n g " > < E x p r e s s i o n > " W e e k   " & a m p ; [ W e e k ] < / E x p r e s s i o n > < / S o u r c e > < / K e y C o l u m n > < / K e y C o l u m n s > < N a m e C o l u m n > < D a t a T y p e > W C h a r < / D a t a T y p e > < S o u r c e   x s i : t y p e = " d d l 2 0 0 _ 2 0 0 : E x p r e s s i o n B i n d i n g " > < E x p r e s s i o n > " W e e k   " & a m p ; [ W e e k ] < / E x p r e s s i o n > < / S o u r c e > < / N a m e C o l u m n > < O r d e r B y > K e y < / O r d e r B y > < / A t t r i b u t e > < A t t r i b u t e > < A n n o t a t i o n s > < A n n o t a t i o n > < N a m e > F o r m a t < / N a m e > < V a l u e > < F o r m a t   F o r m a t = " G e n e r a l "   x m l n s = " "   / > < / V a l u e > < / A n n o t a t i o n > < / A n n o t a t i o n s > < I D > C a l c u l a t e d C o l u m n 1   1 < / I D > < N a m e > G A   b e d   o c c u p a n c y < / N a m e > < K e y C o l u m n s > < K e y C o l u m n > < D a t a T y p e > E m p t y < / D a t a T y p e > < S o u r c e   x s i : t y p e = " d d l 2 0 0 _ 2 0 0 : E x p r e s s i o n B i n d i n g " > < E x p r e s s i o n > [ G A   t o t a l   b e d s   o c c u p i e d ] / [ G A   t o t a l   b e d s   a v a i l ] < / E x p r e s s i o n > < / S o u r c e > < / K e y C o l u m n > < / K e y C o l u m n s > < N a m e C o l u m n > < D a t a T y p e > W C h a r < / D a t a T y p e > < S o u r c e   x s i : t y p e = " d d l 2 0 0 _ 2 0 0 : E x p r e s s i o n B i n d i n g " > < E x p r e s s i o n > [ G A   t o t a l   b e d s   o c c u p i e d ] / [ G A   t o t a l   b e d s   a v a i l ] < / E x p r e s s i o n > < / S o u r c e > < / N a m e C o l u m n > < O r d e r B y > K e y < / O r d e r B y > < / A t t r i b u t e > < A t t r i b u t e > < I D > B e d s   o c c   o v e r   1 4   d a y s < / I D > < N a m e > B e d s   o c c   o v e r   1 4   d a y s < / N a m e > < K e y C o l u m n s > < K e y C o l u m n > < D a t a T y p e > D o u b l e < / D a t a T y p e > < D a t a S i z e > - 1 < / D a t a S i z e > < N u l l P r o c e s s i n g > P r e s e r v e < / N u l l P r o c e s s i n g > < S o u r c e   x s i : t y p e = " C o l u m n B i n d i n g " > < T a b l e I D > W i n t e r _ x 0 0 2 0 _ d a i l y _ x 0 0 2 0 _ s i t r e p s _ 1 d f 8 1 2 b b - 9 f c 3 - 4 6 7 4 - 8 d 4 1 - 6 0 c 6 7 2 6 a 8 e f 3 < / T a b l e I D > < C o l u m n I D > B e d s _ x 0 0 2 0 _ o c c _ x 0 0 2 0 _ o v e r _ x 0 0 2 0 _ 1 4 _ x 0 0 2 0 _ d a y s < / C o l u m n I D > < / S o u r c e > < / K e y C o l u m n > < / K e y C o l u m n s > < N a m e C o l u m n > < D a t a T y p e > W C h a r < / D a t a T y p e > < D a t a S i z e > - 1 < / D a t a S i z e > < N u l l P r o c e s s i n g > Z e r o O r B l a n k < / N u l l P r o c e s s i n g > < S o u r c e   x s i : t y p e = " C o l u m n B i n d i n g " > < T a b l e I D > W i n t e r _ x 0 0 2 0 _ d a i l y _ x 0 0 2 0 _ s i t r e p s _ 1 d f 8 1 2 b b - 9 f c 3 - 4 6 7 4 - 8 d 4 1 - 6 0 c 6 7 2 6 a 8 e f 3 < / T a b l e I D > < C o l u m n I D > B e d s _ x 0 0 2 0 _ o c c _ x 0 0 2 0 _ o v e r _ x 0 0 2 0 _ 1 4 _ x 0 0 2 0 _ d a y s < / 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 W i n t e r   b e d   o c c   o v e r   1 4   d a y s < / I D > < N a m e > W i n t e r   b e d   o c c   o v e r   1 4   d a y s < / N a m 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A n n o t a t i o n s > < A n n o t a t i o n > < N a m e > F o r m a t < / N a m e > < V a l u e > < F o r m a t   F o r m a t = " T e x t "   x m l n s = " "   / > < / V a l u e > < / A n n o t a t i o n > < / A n n o t a t i o n s > < I D > R e g i o n < / I D > < N a m e > R e g i o n < / 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 C o d e < / I D > < N a m e > C o d e 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 N a m e < / I D > < N a m e > N a m e 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 Y e a r < / I D > < N a m e > Y e a r < / N a m e > < K e y C o l u m n s > < K e y C o l u m n > < D a t a T y p e > W C h a r < / D a t a T y p e > < N u l l P r o c e s s i n g > P r e s e r v e < / N u l l P r o c e s s i n g > < / K e y C o l u m n > < / K e y C o l u m n s > < N a m e C o l u m n > < D a t a T y p e > W C h a r < / D a t a T y p e > < N u l l P r o c e s s i n g > Z e r o O r B l a n k < / N u l l P r o c e s s i n g > < / N a m e C o l u m n > < O r d e r B y > K e y < / O r d e r B y > < / A t t r i b u t e > < A t t r i b u t e > < A n n o t a t i o n s > < A n n o t a t i o n > < N a m e > F o r m a t < / N a m e > < V a l u e > < F o r m a t   F o r m a t = " D a t e T i m e G e n e r a l "   x m l n s = " "   / > < / V a l u e > < / A n n o t a t i o n > < / A n n o t a t i o n s > < I D > D a t e < / I D > < N a m e > D a t e < / N a m e > < K e y C o l u m n s > < K e y C o l u m n > < D a t a T y p e > D a t e < / D a t a T y p e > < N u l l P r o c e s s i n g > P r e s e r v e < / N u l l P r o c e s s i n g > < / K e y C o l u m n > < / K e y C o l u m n s > < N a m e C o l u m n > < D a t a T y p e > W C h a r < / D a t a T y p e > < N u l l P r o c e s s i n g > Z e r o O r B l a n k < / N u l l P r o c e s s i n g > < / N a m e C o l u m n > < O r d e r B y > K e y < / O r d e r B y > < d d l 3 0 0 _ 3 0 0 : F o r m a t S t r i n g > G e n e r a l   D a t e < / d d l 3 0 0 _ 3 0 0 : F o r m a t S t r i n g > < / A t t r i b u t e > < A t t r i b u t e > < A n n o t a t i o n s > < A n n o t a t i o n > < N a m e > F o r m a t < / N a m e > < V a l u e > < F o r m a t   F o r m a t = " G e n e r a l "   x m l n s = " "   / > < / V a l u e > < / A n n o t a t i o n > < / A n n o t a t i o n s > < I D > W e e k < / I D > < N a m e > W e e k < / 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s > < I D > D a y < / I D > < N a m e > D a y 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 W e e k e n d < / I D > < N a m e > W e e k e n d < / 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 I < / V a l u e > < / A n n o t a t i o n > < / A n n o t a t i o n s > < I D > B a n k   h o l i d a y < / I D > < N a m e > B a n k   h o l i d a y 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 A   E   c l o s u r e s < / I D > < N a m e > A   E   c l o s u r e s 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  E   d i v e r t s < / I D > < N a m e > A   E   d i v e r t s 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 c o r e   b e d s   a v a i l < / I D > < N a m e > G   A   c o r e 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 e s c a l a t i o n   b e d s   a v a i l < / I D > < N a m e > G   A   e s c a l a t i o n 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 a v a i l < / I D > < N a m e > G   A   t o t a l 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 o c c u p i e d < / I D > < N a m e > G   A   t o t a l   b e d s   o c c u p i e d < / 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 7   d a y s < / I D > < N a m e > B e d s   o c c   o v e r   7 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 2 1   d a y s < / I D > < N a m e > B e d s   o c c   o v e r   2 1 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 n o r o v i r u s < / I D > < N a m e > B e d s   c l o s e d   n o r o v i r u s 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 n o r o v i u s   u n o c c < / I D > < N a m e > B e d s   c l o s e d   n o r o v i u s   u n o c c 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 a v a i l < / I D > < N a m e > A d u l t   C C 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 o c c < / I D > < N a m e > A d u l t   C C   b e d s 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 A v a i l < / I D > < N a m e > P a e d 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 O c c < / I D > < N a m e > P a e d 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 A v a i l < / I D > < N a m e > N e o 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 o c c < / I D > < N a m e > N e o 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 a r r i v a l s < / I D > < N a m e > A m b   a r r i v a l s 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 3 0 - 6 0   m i n s < / I D > < N a m e > A m b   d e l a y s   3 0 - 6 0 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 o v e r   6 0   m i n s < / I D > < N a m e > A m b   d e l a y s   o v e r   6 0 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 1 4   d a y s < / I D > < N a m e > B e d s   o c c   o v e r   1 4   d a y s < / 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 R e g i o n < / A t t r i b u t e I D > < O v e r r i d e B e h a v i o r > N o n e < / O v e r r i d e B e h a v i o r > < N a m e > R e g i o n < / 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 Y e a r < / A t t r i b u t e I D > < O v e r r i d e B e h a v i o r > N o n e < / O v e r r i d e B e h a v i o r > < N a m e > Y e a r < / 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 W e e k e n d < / A t t r i b u t e I D > < O v e r r i d e B e h a v i o r > N o n e < / O v e r r i d e B e h a v i o r > < N a m e > W e e k e n d < / N a m e > < / A t t r i b u t e R e l a t i o n s h i p > < A t t r i b u t e R e l a t i o n s h i p > < A t t r i b u t e I D > B a n k   h o l i d a y < / A t t r i b u t e I D > < O v e r r i d e B e h a v i o r > N o n e < / O v e r r i d e B e h a v i o r > < N a m e > B a n k   h o l i d a y < / N a m e > < / A t t r i b u t e R e l a t i o n s h i p > < A t t r i b u t e R e l a t i o n s h i p > < A t t r i b u t e I D > A   E   c l o s u r e s < / A t t r i b u t e I D > < O v e r r i d e B e h a v i o r > N o n e < / O v e r r i d e B e h a v i o r > < N a m e > A   E   c l o s u r e s < / N a m e > < / A t t r i b u t e R e l a t i o n s h i p > < A t t r i b u t e R e l a t i o n s h i p > < A t t r i b u t e I D > A   E   d i v e r t s < / A t t r i b u t e I D > < O v e r r i d e B e h a v i o r > N o n e < / O v e r r i d e B e h a v i o r > < N a m e > A   E   d i v e r t s < / N a m e > < / A t t r i b u t e R e l a t i o n s h i p > < A t t r i b u t e R e l a t i o n s h i p > < A t t r i b u t e I D > G   A   c o r e   b e d s   a v a i l < / A t t r i b u t e I D > < O v e r r i d e B e h a v i o r > N o n e < / O v e r r i d e B e h a v i o r > < N a m e > G   A   c o r e   b e d s   a v a i l < / N a m e > < / A t t r i b u t e R e l a t i o n s h i p > < A t t r i b u t e R e l a t i o n s h i p > < A t t r i b u t e I D > G   A   e s c a l a t i o n   b e d s   a v a i l < / A t t r i b u t e I D > < O v e r r i d e B e h a v i o r > N o n e < / O v e r r i d e B e h a v i o r > < N a m e > G   A   e s c a l a t i o n   b e d s   a v a i l < / N a m e > < / A t t r i b u t e R e l a t i o n s h i p > < A t t r i b u t e R e l a t i o n s h i p > < A t t r i b u t e I D > G   A   t o t a l   b e d s   a v a i l < / A t t r i b u t e I D > < O v e r r i d e B e h a v i o r > N o n e < / O v e r r i d e B e h a v i o r > < N a m e > G   A   t o t a l   b e d s   a v a i l < / N a m e > < / A t t r i b u t e R e l a t i o n s h i p > < A t t r i b u t e R e l a t i o n s h i p > < A t t r i b u t e I D > G   A   t o t a l   b e d s   o c c u p i e d < / A t t r i b u t e I D > < O v e r r i d e B e h a v i o r > N o n e < / O v e r r i d e B e h a v i o r > < N a m e > G   A   t o t a l   b e d s   o c c u p i e d < / 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 B e d s   o c c   o v e r   1 4   d a y s < / A t t r i b u t e I D > < O v e r r i d e B e h a v i o r > N o n e < / O v e r r i d e B e h a v i o r > < N a m e > B e d s   o c c   o v e r   1 4   d a y s < / 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 2 0 5 7 < / L a n g u a g e > < D i m e n s i o n s > < D i m e n s i o n > < I D > W i n t e r   d a i l y   s i t r e p s _ 1 d f 8 1 2 b b - 9 f c 3 - 4 6 7 4 - 8 d 4 1 - 6 0 c 6 7 2 6 a 8 e f 3 < / I D > < N a m e > W i n t e r   d a i l y   s i t r e p s < / N a m e > < D i m e n s i o n I D > W i n t e r   d a i l y   s i t r e p s _ 1 d f 8 1 2 b b - 9 f c 3 - 4 6 7 4 - 8 d 4 1 - 6 0 c 6 7 2 6 a 8 e f 3 < / D i m e n s i o n I D > < A t t r i b u t e s > < A t t r i b u t e > < A t t r i b u t e I D > R o w N u m b e r < / A t t r i b u t e I D > < A t t r i b u t e H i e r a r c h y V i s i b l e > f a l s e < / A t t r i b u t e H i e r a r c h y V i s i b l e > < / A t t r i b u t e > < A t t r i b u t e > < A t t r i b u t e I D > I D < / A t t r i b u t e I D > < / A t t r i b u t e > < A t t r i b u t e > < A t t r i b u t e I D > c r i _ i d < / A t t r i b u t e I D > < / A t t r i b u t e > < A t t r i b u t e > < A t t r i b u t e I D > d r _ i d < / A t t r i b u t e I D > < / A t t r i b u t e > < A t t r i b u t e > < A t t r i b u t e I D > o r g _ i d < / A t t r i b u t e I D > < / A t t r i b u t e > < A t t r i b u t e > < A t t r i b u t e I D > c r i _ d a t a p e r i o d s t a r t < / A t t r i b u t e I D > < / A t t r i b u t e > < A t t r i b u t e > < A t t r i b u t e I D > C o d e < / A t t r i b u t e I D > < / A t t r i b u t e > < A t t r i b u t e > < A t t r i b u t e I D > N a m e < / A t t r i b u t e I D > < / A t t r i b u t e > < A t t r i b u t e > < A t t r i b u t e I D > D a t e < / A t t r i b u t e I D > < / A t t r i b u t e > < A t t r i b u t e > < A t t r i b u t e I D > W e e k < / A t t r i b u t e I D > < / A t t r i b u t e > < A t t r i b u t e > < A t t r i b u t e I D > D a y < / A t t r i b u t e I D > < / A t t r i b u t e > < A t t r i b u t e > < A t t r i b u t e I D > B a n k   h o l i d a y < / A t t r i b u t e I D > < / A t t r i b u t e > < A t t r i b u t e > < A t t r i b u t e I D > A E   c l o s u r e s < / A t t r i b u t e I D > < / A t t r i b u t e > < A t t r i b u t e > < A t t r i b u t e I D > A E   d i v e r t s < / A t t r i b u t e I D > < / A t t r i b u t e > < A t t r i b u t e > < A t t r i b u t e I D > A E   t y p e   1   a t t e n d a n c e s < / A t t r i b u t e I D > < / A t t r i b u t e > < A t t r i b u t e > < A t t r i b u t e I D > A E   t y p e   2   a t t e n d a n c e s < / A t t r i b u t e I D > < / A t t r i b u t e > < A t t r i b u t e > < A t t r i b u t e I D > A E   t y p e   3   a t t e n d a n c e s < / A t t r i b u t e I D > < / A t t r i b u t e > < A t t r i b u t e > < A t t r i b u t e I D > A E   t o t a l   a t t e n d a n c e s < / A t t r i b u t e I D > < / A t t r i b u t e > < A t t r i b u t e > < A t t r i b u t e I D > E m e r g e n c y   a d m i s s i o n s < / A t t r i b u t e I D > < / A t t r i b u t e > < A t t r i b u t e > < A t t r i b u t e I D > G A   c o r e   b e d s   a v a i l < / A t t r i b u t e I D > < / A t t r i b u t e > < A t t r i b u t e > < A t t r i b u t e I D > G A   e s c a l a t i o n   b e d s   a v a i l < / A t t r i b u t e I D > < / A t t r i b u t e > < A t t r i b u t e > < A t t r i b u t e I D > G A   t o t a l   b e d s   a v a i l < / A t t r i b u t e I D > < / A t t r i b u t e > < A t t r i b u t e > < A t t r i b u t e I D > G A   t o t a l   b e d s   o c c u p i e d < / 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 O P E L   3   o r   a b o v e < / A t t r i b u t e I D > < / A t t r i b u t e > < A t t r i b u t e > < A t t r i b u t e I D > W e e k e n d < / A t t r i b u t e I D > < / A t t r i b u t e > < A t t r i b u t e > < A t t r i b u t e I D > R e g i o n < / A t t r i b u t e I D > < / A t t r i b u t e > < A t t r i b u t e > < A t t r i b u t e I D > Y e a r < / A t t r i b u t e I D > < / A t t r i b u t e > < A t t r i b u t e > < A t t r i b u t e I D > B e d s   o c c   o v e r   7   d a y s < / A t t r i b u t e I D > < / A t t r i b u t e > < A t t r i b u t e > < A t t r i b u t e I D > B e d s   o c c   o v e r   2 1   d a y s < / A t t r i b u t e I D > < / A t t r i b u t e > < A t t r i b u t e > < A t t r i b u t e I D > A m b   a r r i v a l s < / A t t r i b u t e I D > < / A t t r i b u t e > < A t t r i b u t e > < A t t r i b u t e I D > A m b   d e l a y s   3 0 - 6 0   m i n s < / A t t r i b u t e I D > < / A t t r i b u t e > < A t t r i b u t e > < A t t r i b u t e I D > A m b   d e l a y s   o v e r   6 0   m i n s < / A t t r i b u t e I D > < / A t t r i b u t e > < A t t r i b u t e > < A t t r i b u t e I D > C a l c u l a t e d C o l u m n 1 < / A t t r i b u t e I D > < / A t t r i b u t e > < A t t r i b u t e > < A t t r i b u t e I D > C a l c u l a t e d C o l u m n 1   1 < / A t t r i b u t e I D > < / A t t r i b u t e > < A t t r i b u t e > < A t t r i b u t e I D > B e d s   o c c   o v e r   1 4   d a y s < / A t t r i b u t e I D > < / A t t r i b u t e > < / A t t r i b u t e s > < / D i m e n s i o n > < D i m e n s i o n > < I D > W i n t e r   b e d   o c c   o v e r   1 4   d a y s < / I D > < N a m e > W i n t e r   b e d   o c c   o v e r   1 4   d a y s < / N a m e > < D i m e n s i o n I D > W i n t e r   b e d   o c c   o v e r   1 4   d a y s < / D i m e n s i o n I D > < A t t r i b u t e s > < A t t r i b u t e > < A t t r i b u t e I D > R e g i o n < / A t t r i b u t e I D > < / A t t r i b u t e > < A t t r i b u t e > < A t t r i b u t e I D > C o d e < / A t t r i b u t e I D > < / A t t r i b u t e > < A t t r i b u t e > < A t t r i b u t e I D > N a m e < / A t t r i b u t e I D > < / A t t r i b u t e > < A t t r i b u t e > < A t t r i b u t e I D > Y e a r < / A t t r i b u t e I D > < / A t t r i b u t e > < A t t r i b u t e > < A t t r i b u t e I D > D a t e < / A t t r i b u t e I D > < / A t t r i b u t e > < A t t r i b u t e > < A t t r i b u t e I D > W e e k < / A t t r i b u t e I D > < / A t t r i b u t e > < A t t r i b u t e > < A t t r i b u t e I D > D a y < / A t t r i b u t e I D > < / A t t r i b u t e > < A t t r i b u t e > < A t t r i b u t e I D > W e e k e n d < / A t t r i b u t e I D > < / A t t r i b u t e > < A t t r i b u t e > < A t t r i b u t e I D > B a n k   h o l i d a y < / A t t r i b u t e I D > < / A t t r i b u t e > < A t t r i b u t e > < A t t r i b u t e I D > A   E   c l o s u r e s < / A t t r i b u t e I D > < / A t t r i b u t e > < A t t r i b u t e > < A t t r i b u t e I D > A   E   d i v e r t s < / A t t r i b u t e I D > < / A t t r i b u t e > < A t t r i b u t e > < A t t r i b u t e I D > G   A   c o r e   b e d s   a v a i l < / A t t r i b u t e I D > < / A t t r i b u t e > < A t t r i b u t e > < A t t r i b u t e I D > G   A   e s c a l a t i o n   b e d s   a v a i l < / A t t r i b u t e I D > < / A t t r i b u t e > < A t t r i b u t e > < A t t r i b u t e I D > G   A   t o t a l   b e d s   a v a i l < / A t t r i b u t e I D > < / A t t r i b u t e > < A t t r i b u t e > < A t t r i b u t e I D > G   A   t o t a l   b e d s   o c c u p i e d < / A t t r i b u t e I D > < / A t t r i b u t e > < A t t r i b u t e > < A t t r i b u t e I D > B e d s   o c c   o v e r   7   d a y s < / A t t r i b u t e I D > < / A t t r i b u t e > < A t t r i b u t e > < A t t r i b u t e I D > B e d s   o c c   o v e r   2 1   d a y s < / 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 A m b   a r r i v a l s < / A t t r i b u t e I D > < / A t t r i b u t e > < A t t r i b u t e > < A t t r i b u t e I D > A m b   d e l a y s   3 0 - 6 0   m i n s < / A t t r i b u t e I D > < / A t t r i b u t e > < A t t r i b u t e > < A t t r i b u t e I D > A m b   d e l a y s   o v e r   6 0   m i n s < / A t t r i b u t e I D > < / A t t r i b u t e > < A t t r i b u t e > < A t t r i b u t e I D > B e d s   o c c   o v e r   1 4   d a y s < / A t t r i b u t e I D > < / A t t r i b u t e > < A t t r i b u t e > < A t t r i b u t e I D > R o w N u m b e r < / A t t r i b u t e I D > < A t t r i b u t e H i e r a r c h y V i s i b l e > f a l s e < / A t t r i b u t e H i e r a r c h y V i s i b l e > < / A t t r i b u t e > < / A t t r i b u t e s > < / D i m e n s i o n > < / D i m e n s i o n s > < M e a s u r e G r o u p s > < M e a s u r e G r o u p > < I D > W i n t e r   d a i l y   s i t r e p s _ 1 d f 8 1 2 b b - 9 f c 3 - 4 6 7 4 - 8 d 4 1 - 6 0 c 6 7 2 6 a 8 e f 3 < / I D > < N a m e > W i n t e r   d a i l y   s i t r e p s < / N a m e > < M e a s u r e s > < M e a s u r e > < I D > W i n t e r   d a i l y   s i t r e p s _ 1 d f 8 1 2 b b - 9 f c 3 - 4 6 7 4 - 8 d 4 1 - 6 0 c 6 7 2 6 a 8 e f 3 < / I D > < N a m e > _ C o u n t   W i n t e r   d a i l y   s i t r e p s < / N a m e > < A g g r e g a t e F u n c t i o n > C o u n t < / A g g r e g a t e F u n c t i o n > < D a t a T y p e > B i g I n t < / D a t a T y p e > < S o u r c e > < D a t a T y p e > B i g I n t < / D a t a T y p e > < D a t a S i z e > 8 < / D a t a S i z e > < S o u r c e   x s i : t y p e = " R o w B i n d i n g " > < T a b l e I D > W i n t e r _ x 0 0 2 0 _ d a i l y _ x 0 0 2 0 _ s i t r e p s _ 1 d f 8 1 2 b b - 9 f c 3 - 4 6 7 4 - 8 d 4 1 - 6 0 c 6 7 2 6 a 8 e f 3 < / 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 d a i l y   s i t r e p s _ 1 d f 8 1 2 b b - 9 f c 3 - 4 6 7 4 - 8 d 4 1 - 6 0 c 6 7 2 6 a 8 e f 3 < / C u b e D i m e n s i o n I D > < A t t r i b u t e s > < A t t r i b u t e > < A t t r i b u t e I D > R o w N u m b e r < / A t t r i b u t e I D > < K e y C o l u m n s > < K e y C o l u m n > < D a t a T y p e > I n t e g e r < / D a t a T y p e > < S o u r c e   x s i : t y p e = " C o l u m n B i n d i n g " > < T a b l e I D > W i n t e r _ x 0 0 2 0 _ d a i l y _ x 0 0 2 0 _ s i t r e p s < / T a b l e I D > < C o l u m n I D > R o w N u m b e r < / C o l u m n I D > < / S o u r c e > < / K e y C o l u m n > < / K e y C o l u m n s > < T y p e > G r a n u l a r i t y < / T y p e > < / A t t r i b u t e > < A t t r i b u t e > < A t t r i b u t e I D > I D < / A t t r i b u t e I D > < 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A t t r i b u t e > < A t t r i b u t e > < A t t r i b u t e I D > c r i _ i d < / A t t r i b u t e I D > < 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A t t r i b u t e > < A t t r i b u t e > < A t t r i b u t e I D > d r _ i d < / A t t r i b u t e I D > < 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A t t r i b u t e > < A t t r i b u t e > < A t t r i b u t e I D > o r g _ i d < / A t t r i b u t e I D > < 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A t t r i b u t e > < A t t r i b u t e > < A t t r i b u t e I D > c r i _ d a t a p e r i o d s t a r t < / A t t r i b u t e I D > < 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A t t r i b u t e > < A t t r i b u t e > < A t t r i b u t e I D > C o d e < / A t t r i b u t e I D > < 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A t t r i b u t e > < A t t r i b u t e > < A t t r i b u t e I D > N a m e < / A t t r i b u t e I D > < 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A t t r i b u t e > < A t t r i b u t e > < A t t r i b u t e I D > D a t e < / A t t r i b u t e I D > < 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A t t r i b u t e > < A t t r i b u t e > < A t t r i b u t e I D > W e e k < / A t t r i b u t e I D > < 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A t t r i b u t e > < A t t r i b u t e > < A t t r i b u t e I D > D a y < / A t t r i b u t e I D > < 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A t t r i b u t e > < A t t r i b u t e > < A t t r i b u t e I D > B a n k   h o l i d a y < / A t t r i b u t e I D > < 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A t t r i b u t e > < A t t r i b u t e > < A t t r i b u t e I D > A E   c l o s u r e s 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A t t r i b u t e > < A t t r i b u t e > < A t t r i b u t e I D > A E   d i v e r t s 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A t t r i b u t e > < A t t r i b u t e > < A t t r i b u t e I D > A E   t y p e   1 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A t t r i b u t e > < A t t r i b u t e > < A t t r i b u t e I D > A E   t y p e   2 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A t t r i b u t e > < A t t r i b u t e > < A t t r i b u t e I D > A E   t y p e   3 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A t t r i b u t e > < A t t r i b u t e > < A t t r i b u t e I D > A E   t o t a l 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A t t r i b u t e > < A t t r i b u t e > < A t t r i b u t e I D > E m e r g e n c y   a d m i s s i o n s < / A t t r i b u t e I D > < 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A t t r i b u t e > < A t t r i b u t e > < A t t r i b u t e I D > G A   c o r e 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A t t r i b u t e > < A t t r i b u t e > < A t t r i b u t e I D > G A   e s c a l a t i o n 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A t t r i b u t e > < A t t r i b u t e > < A t t r i b u t e I D > G A   t o t a l 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A t t r i b u t e > < A t t r i b u t e > < A t t r i b u t e I D > G A   t o t a l   b e d s   o c c u p i e d < / 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A t t r i b u t e > < A t t r i b u t e > < A t t r i b u t e I D > B e d s   c l o s e d   n o r o v i r u s < / 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A t t r i b u t e > < A t t r i b u t e > < A t t r i b u t e I D > B e d s   c l o s e d   n o r o v i u s   u n o c c < / 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A t t r i b u t e > < A t t r i b u t e > < A t t r i b u t e I D > A d u l t   C C   b e d s   a v a i l < / 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A t t r i b u t e > < A t t r i b u t e > < A t t r i b u t e I D > A d u l t   C C   b e d s   o c c < / 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A t t r i b u t e > < A t t r i b u t e > < A t t r i b u t e I D > P a e d 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A t t r i b u t e > < A t t r i b u t e > < A t t r i b u t e I D > P a e d   I n t   C a r e   O c c < / 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A t t r i b u t e > < A t t r i b u t e > < A t t r i b u t e I D > N e o 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A t t r i b u t e > < A t t r i b u t e > < A t t r i b u t e I D > N e o   I n t   C a r e   o c c < / 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A t t r i b u t e > < A t t r i b u t e > < A t t r i b u t e I D > O P E L   3   o r   a b o v e < / A t t r i b u t e I D > < 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A t t r i b u t e > < A t t r i b u t e > < A t t r i b u t e I D > W e e k e n d < / A t t r i b u t e I D > < 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A t t r i b u t e > < A t t r i b u t e > < A t t r i b u t e I D > R e g i o n < / A t t r i b u t e I D > < 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A t t r i b u t e > < A t t r i b u t e > < A t t r i b u t e I D > Y e a r < / A t t r i b u t e I D > < 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A t t r i b u t e > < A t t r i b u t e > < A t t r i b u t e I D > B e d s   o c c   o v e r   7 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A t t r i b u t e > < A t t r i b u t e > < A t t r i b u t e I D > B e d s   o c c   o v e r   2 1 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A t t r i b u t e > < A t t r i b u t e > < A t t r i b u t e I D > A m b   a r r i v a l s < / A t t r i b u t e I D > < 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A t t r i b u t e > < A t t r i b u t e > < A t t r i b u t e I D > A m b   d e l a y s   3 0 - 6 0 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A t t r i b u t e > < A t t r i b u t e > < A t t r i b u t e I D > A m b   d e l a y s   o v e r   6 0 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A t t r i b u t e > < A t t r i b u t e > < A t t r i b u t e I D > C a l c u l a t e d C o l u m n 1 < / A t t r i b u t e I D > < K e y C o l u m n s > < K e y C o l u m n > < D a t a T y p e > E m p t y < / D a t a T y p e > < S o u r c e   x s i : t y p e = " d d l 2 0 0 _ 2 0 0 : E x p r e s s i o n B i n d i n g " > < E x p r e s s i o n > < / E x p r e s s i o n > < / S o u r c e > < / K e y C o l u m n > < / K e y C o l u m n s > < / A t t r i b u t e > < A t t r i b u t e > < A t t r i b u t e I D > C a l c u l a t e d C o l u m n 1   1 < / A t t r i b u t e I D > < K e y C o l u m n s > < K e y C o l u m n > < D a t a T y p e > E m p t y < / D a t a T y p e > < S o u r c e   x s i : t y p e = " d d l 2 0 0 _ 2 0 0 : E x p r e s s i o n B i n d i n g " > < E x p r e s s i o n > < / E x p r e s s i o n > < / S o u r c e > < / K e y C o l u m n > < / K e y C o l u m n s > < / A t t r i b u t e > < A t t r i b u t e > < A t t r i b u t e I D > B e d s   o c c   o v e r   1 4   d a y s < / A t t r i b u t e I D > < K e y C o l u m n s > < K e y C o l u m n > < D a t a T y p e > D o u b l e < / D a t a T y p e > < D a t a S i z e > - 1 < / D a t a S i z e > < N u l l P r o c e s s i n g > P r e s e r v e < / N u l l P r o c e s s i n g > < S o u r c e   x s i : t y p e = " C o l u m n B i n d i n g " > < T a b l e I D > W i n t e r _ x 0 0 2 0 _ d a i l y _ x 0 0 2 0 _ s i t r e p s _ 1 d f 8 1 2 b b - 9 f c 3 - 4 6 7 4 - 8 d 4 1 - 6 0 c 6 7 2 6 a 8 e f 3 < / T a b l e I D > < C o l u m n I D > B e d s _ x 0 0 2 0 _ o c c _ x 0 0 2 0 _ o v e r _ x 0 0 2 0 _ 1 4 _ x 0 0 2 0 _ d a y s < / C o l u m n I D > < / S o u r c e > < / K e y C o l u m n > < / K e y C o l u m n s > < / A t t r i b u t e > < / A t t r i b u t e s > < d d l 2 0 0 _ 2 0 0 : S h a r e D i m e n s i o n S t o r a g e > S h a r e d < / d d l 2 0 0 _ 2 0 0 : S h a r e D i m e n s i o n S t o r a g e > < / D i m e n s i o n > < / D i m e n s i o n s > < P a r t i t i o n s > < P a r t i t i o n > < I D > W i n t e r   d a i l y   s i t r e p s _ 1 d f 8 1 2 b b - 9 f c 3 - 4 6 7 4 - 8 d 4 1 - 6 0 c 6 7 2 6 a 8 e f 3 < / I D > < N a m e > W i n t e r   d a i l y   s i t r e p s < / 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  / & g t ;  
     & l t ; C o l u m n A c c u r a c y   / & g t ;  
     & l t ; C o l u m n C u r r e n c y S y m b o l   / & g t ;  
     & l t ; C o l u m n P o s i t i v e P a t t e r n   / & g t ;  
     & l t ; C o l u m n N e g a t i v e P a t t e r n   / & g t ;  
     & l t ; C o l u m n W i d t h s & g t ;  
         & l t ; i t e m & g t ;  
             & l t ; k e y & g t ;  
                 & l t ; s t r i n g & g t ; I D & l t ; / s t r i n g & g t ;  
             & l t ; / k e y & g t ;  
             & l t ; v a l u e & g t ;  
                 & l t ; i n t & g t ; 7 2 & l t ; / i n t & g t ;  
             & l t ; / v a l u e & g t ;  
         & l t ; / i t e m & g t ;  
         & l t ; i t e m & g t ;  
             & l t ; k e y & g t ;  
                 & l t ; s t r i n g & g t ; c r i _ i d & l t ; / s t r i n g & g t ;  
             & l t ; / k e y & g t ;  
             & l t ; v a l u e & g t ;  
                 & l t ; i n t & g t ; 9 3 & l t ; / i n t & g t ;  
             & l t ; / v a l u e & g t ;  
         & l t ; / i t e m & g t ;  
         & l t ; i t e m & g t ;  
             & l t ; k e y & g t ;  
                 & l t ; s t r i n g & g t ; d r _ i d & l t ; / s t r i n g & g t ;  
             & l t ; / k e y & g t ;  
             & l t ; v a l u e & g t ;  
                 & l t ; i n t & g t ; 9 1 & l t ; / i n t & g t ;  
             & l t ; / v a l u e & g t ;  
         & l t ; / i t e m & g t ;  
         & l t ; i t e m & g t ;  
             & l t ; k e y & g t ;  
                 & l t ; s t r i n g & g t ; o r g _ i d & l t ; / s t r i n g & g t ;  
             & l t ; / k e y & g t ;  
             & l t ; v a l u e & g t ;  
                 & l t ; i n t & g t ; 9 8 & l t ; / i n t & g t ;  
             & l t ; / v a l u e & g t ;  
         & l t ; / i t e m & g t ;  
         & l t ; i t e m & g t ;  
             & l t ; k e y & g t ;  
                 & l t ; s t r i n g & g t ; c r i _ d a t a p e r i o d s t a r t & l t ; / s t r i n g & g t ;  
             & l t ; / k e y & g t ;  
             & l t ; v a l u e & g t ;  
                 & l t ; i n t & g t ; 1 7 7 & l t ; / i n t & g t ;  
             & l t ; / v a l u e & g t ;  
         & l t ; / i t e m & g t ;  
         & l t ; i t e m & g t ;  
             & l t ; k e y & g t ;  
                 & l t ; s t r i n g & g t ; C o d e & l t ; / s t r i n g & g t ;  
             & l t ; / k e y & g t ;  
             & l t ; v a l u e & g t ;  
                 & l t ; i n t & g t ; 9 1 & l t ; / i n t & g t ;  
             & l t ; / v a l u e & g t ;  
         & l t ; / i t e m & g t ;  
         & l t ; i t e m & g t ;  
             & l t ; k e y & g t ;  
                 & l t ; s t r i n g & g t ; N a m e & l t ; / s t r i n g & g t ;  
             & l t ; / k e y & g t ;  
             & l t ; v a l u e & g t ;  
                 & l t ; i n t & g t ; 9 6 & l t ; / i n t & g t ;  
             & l t ; / v a l u e & g t ;  
         & l t ; / i t e m & g t ;  
         & l t ; i t e m & g t ;  
             & l t ; k e y & g t ;  
                 & l t ; s t r i n g & g t ; D a t e & l t ; / s t r i n g & g t ;  
             & l t ; / k e y & g t ;  
             & l t ; v a l u e & g t ;  
                 & l t ; i n t & g t ; 8 8 & l t ; / i n t & g t ;  
             & l t ; / v a l u e & g t ;  
         & l t ; / i t e m & g t ;  
         & l t ; i t e m & g t ;  
             & l t ; k e y & g t ;  
                 & l t ; s t r i n g & g t ; W e e k & l t ; / s t r i n g & g t ;  
             & l t ; / k e y & g t ;  
             & l t ; v a l u e & g t ;  
                 & l t ; i n t & g t ; 9 4 & l t ; / i n t & g t ;  
             & l t ; / v a l u e & g t ;  
         & l t ; / i t e m & g t ;  
         & l t ; i t e m & g t ;  
             & l t ; k e y & g t ;  
                 & l t ; s t r i n g & g t ; D a y & l t ; / s t r i n g & g t ;  
             & l t ; / k e y & g t ;  
             & l t ; v a l u e & g t ;  
                 & l t ; i n t & g t ; 8 2 & l t ; / i n t & g t ;  
             & l t ; / v a l u e & g t ;  
         & l t ; / i t e m & g t ;  
         & l t ; i t e m & g t ;  
             & l t ; k e y & g t ;  
                 & l t ; s t r i n g & g t ; B a n k   h o l i d a y & l t ; / s t r i n g & g t ;  
             & l t ; / k e y & g t ;  
             & l t ; v a l u e & g t ;  
                 & l t ; i n t & g t ; 1 3 8 & l t ; / i n t & g t ;  
             & l t ; / v a l u e & g t ;  
         & l t ; / i t e m & g t ;  
         & l t ; i t e m & g t ;  
             & l t ; k e y & g t ;  
                 & l t ; s t r i n g & g t ; A & a m p ; a m p ; E   c l o s u r e s & l t ; / s t r i n g & g t ;  
             & l t ; / k e y & g t ;  
             & l t ; v a l u e & g t ;  
                 & l t ; i n t & g t ; 1 3 9 & l t ; / i n t & g t ;  
             & l t ; / v a l u e & g t ;  
         & l t ; / i t e m & g t ;  
         & l t ; i t e m & g t ;  
             & l t ; k e y & g t ;  
                 & l t ; s t r i n g & g t ; A & a m p ; a m p ; E   d i v e r t s & l t ; / s t r i n g & g t ;  
             & l t ; / k e y & g t ;  
             & l t ; v a l u e & g t ;  
                 & l t ; i n t & g t ; 1 3 1 & l t ; / i n t & g t ;  
             & l t ; / v a l u e & g t ;  
         & l t ; / i t e m & g t ;  
         & l t ; i t e m & g t ;  
             & l t ; k e y & g t ;  
                 & l t ; s t r i n g & g t ; A & a m p ; a m p ; E   t y p e   1   a t t e n d a n c e s & l t ; / s t r i n g & g t ;  
             & l t ; / k e y & g t ;  
             & l t ; v a l u e & g t ;  
                 & l t ; i n t & g t ; 2 0 5 & l t ; / i n t & g t ;  
             & l t ; / v a l u e & g t ;  
         & l t ; / i t e m & g t ;  
         & l t ; i t e m & g t ;  
             & l t ; k e y & g t ;  
                 & l t ; s t r i n g & g t ; A & a m p ; a m p ; E   t y p e   2   a t t e n d a n c e s & l t ; / s t r i n g & g t ;  
             & l t ; / k e y & g t ;  
             & l t ; v a l u e & g t ;  
                 & l t ; i n t & g t ; 2 0 5 & l t ; / i n t & g t ;  
             & l t ; / v a l u e & g t ;  
         & l t ; / i t e m & g t ;  
         & l t ; i t e m & g t ;  
             & l t ; k e y & g t ;  
                 & l t ; s t r i n g & g t ; A & a m p ; a m p ; E   t y p e   3   a t t e n d a n c e s & l t ; / s t r i n g & g t ;  
             & l t ; / k e y & g t ;  
             & l t ; v a l u e & g t ;  
                 & l t ; i n t & g t ; 2 0 5 & l t ; / i n t & g t ;  
             & l t ; / v a l u e & g t ;  
         & l t ; / i t e m & g t ;  
         & l t ; i t e m & g t ;  
             & l t ; k e y & g t ;  
                 & l t ; s t r i n g & g t ; A & a m p ; a m p ; E   t o t a l   a t t e n d a n c e s & l t ; / s t r i n g & g t ;  
             & l t ; / k e y & g t ;  
             & l t ; v a l u e & g t ;  
                 & l t ; i n t & g t ; 1 9 6 & l t ; / i n t & g t ;  
             & l t ; / v a l u e & g t ;  
         & l t ; / i t e m & g t ;  
         & l t ; i t e m & g t ;  
             & l t ; k e y & g t ;  
                 & l t ; s t r i n g & g t ; E m e r g e n c y   a d m i s s i o n s & l t ; / s t r i n g & g t ;  
             & l t ; / k e y & g t ;  
             & l t ; v a l u e & g t ;  
                 & l t ; i n t & g t ; 1 9 9 & l t ; / i n t & g t ;  
             & l t ; / v a l u e & g t ;  
         & l t ; / i t e m & g t ;  
         & l t ; i t e m & g t ;  
             & l t ; k e y & g t ;  
                 & l t ; s t r i n g & g t ; G & a m p ; a m p ; A   c o r e   b e d s   a v a i l & l t ; / s t r i n g & g t ;  
             & l t ; / k e y & g t ;  
             & l t ; v a l u e & g t ;  
                 & l t ; i n t & g t ; 1 8 2 & l t ; / i n t & g t ;  
             & l t ; / v a l u e & g t ;  
         & l t ; / i t e m & g t ;  
         & l t ; i t e m & g t ;  
             & l t ; k e y & g t ;  
                 & l t ; s t r i n g & g t ; G & a m p ; a m p ; A   e s c a l a t i o n   b e d s   a v a i l & l t ; / s t r i n g & g t ;  
             & l t ; / k e y & g t ;  
             & l t ; v a l u e & g t ;  
                 & l t ; i n t & g t ; 2 1 7 & l t ; / i n t & g t ;  
             & l t ; / v a l u e & g t ;  
         & l t ; / i t e m & g t ;  
         & l t ; i t e m & g t ;  
             & l t ; k e y & g t ;  
                 & l t ; s t r i n g & g t ; G & a m p ; a m p ; A   t o t a l   b e d s   a v a i l & l t ; / s t r i n g & g t ;  
             & l t ; / k e y & g t ;  
             & l t ; v a l u e & g t ;  
                 & l t ; i n t & g t ; 1 8 4 & l t ; / i n t & g t ;  
             & l t ; / v a l u e & g t ;  
         & l t ; / i t e m & g t ;  
         & l t ; i t e m & g t ;  
             & l t ; k e y & g t ;  
                 & l t ; s t r i n g & g t ; G & a m p ; a m p ; A   t o t a l   b e d s   o c c u p i e d & l t ; / s t r i n g & g t ;  
             & l t ; / k e y & g t ;  
             & l t ; v a l u e & g t ;  
                 & l t ; i n t & g t ; 2 1 1 & l t ; / i n t & g t ;  
             & l t ; / v a l u e & g t ;  
         & l t ; / i t e m & g t ;  
         & l t ; i t e m & g t ;  
             & l t ; k e y & g t ;  
                 & l t ; s t r i n g & g t ; B e d s   c l o s e d   n o r o v i r u s & l t ; / s t r i n g & g t ;  
             & l t ; / k e y & g t ;  
             & l t ; v a l u e & g t ;  
                 & l t ; i n t & g t ; 1 9 4 & l t ; / i n t & g t ;  
             & l t ; / v a l u e & g t ;  
         & l t ; / i t e m & g t ;  
         & l t ; i t e m & g t ;  
             & l t ; k e y & g t ;  
                 & l t ; s t r i n g & g t ; B e d s   c l o s e d   n o r o v i u s   u n o c c & l t ; / s t r i n g & g t ;  
             & l t ; / k e y & g t ;  
             & l t ; v a l u e & g t ;  
                 & l t ; i n t & g t ; 2 2 8 & l t ; / i n t & g t ;  
             & l t ; / v a l u e & g t ;  
         & l t ; / i t e m & g t ;  
         & l t ; i t e m & g t ;  
             & l t ; k e y & g t ;  
                 & l t ; s t r i n g & g t ; A d u l t   C C   b e d s   a v a i l & l t ; / s t r i n g & g t ;  
             & l t ; / k e y & g t ;  
             & l t ; v a l u e & g t ;  
                 & l t ; i n t & g t ; 1 7 7 & l t ; / i n t & g t ;  
             & l t ; / v a l u e & g t ;  
         & l t ; / i t e m & g t ;  
         & l t ; i t e m & g t ;  
             & l t ; k e y & g t ;  
                 & l t ; s t r i n g & g t ; A d u l t   C C   b e d s   o c c & l t ; / s t r i n g & g t ;  
             & l t ; / k e y & g t ;  
             & l t ; v a l u e & g t ;  
                 & l t ; i n t & g t ; 1 6 8 & l t ; / i n t & g t ;  
             & l t ; / v a l u e & g t ;  
         & l t ; / i t e m & g t ;  
         & l t ; i t e m & g t ;  
             & l t ; k e y & g t ;  
                 & l t ; s t r i n g & g t ; P a e d   I n t   C a r e   A v a i l & l t ; / s t r i n g & g t ;  
             & l t ; / k e y & g t ;  
             & l t ; v a l u e & g t ;  
                 & l t ; i n t & g t ; 1 7 5 & l t ; / i n t & g t ;  
             & l t ; / v a l u e & g t ;  
         & l t ; / i t e m & g t ;  
         & l t ; i t e m & g t ;  
             & l t ; k e y & g t ;  
                 & l t ; s t r i n g & g t ; P a e d   I n t   C a r e   O c c & l t ; / s t r i n g & g t ;  
             & l t ; / k e y & g t ;  
             & l t ; v a l u e & g t ;  
                 & l t ; i n t & g t ; 1 6 6 & l t ; / i n t & g t ;  
             & l t ; / v a l u e & g t ;  
         & l t ; / i t e m & g t ;  
         & l t ; i t e m & g t ;  
             & l t ; k e y & g t ;  
                 & l t ; s t r i n g & g t ; N e o   I n t   C a r e   A v a i l & l t ; / s t r i n g & g t ;  
             & l t ; / k e y & g t ;  
             & l t ; v a l u e & g t ;  
                 & l t ; i n t & g t ; 1 7 0 & l t ; / i n t & g t ;  
             & l t ; / v a l u e & g t ;  
         & l t ; / i t e m & g t ;  
         & l t ; i t e m & g t ;  
             & l t ; k e y & g t ;  
                 & l t ; s t r i n g & g t ; N e o   I n t   C a r e   o c c & l t ; / s t r i n g & g t ;  
             & l t ; / k e y & g t ;  
             & l t ; v a l u e & g t ;  
                 & l t ; i n t & g t ; 1 5 9 & l t ; / i n t & g t ;  
             & l t ; / v a l u e & g t ;  
         & l t ; / i t e m & g t ;  
         & l t ; i t e m & g t ;  
             & l t ; k e y & g t ;  
                 & l t ; s t r i n g & g t ; O P E L   3   o r   a b o v e & l t ; / s t r i n g & g t ;  
             & l t ; / k e y & g t ;  
             & l t ; v a l u e & g t ;  
                 & l t ; i n t & g t ; 1 5 7 & l t ; / i n t & g t ;  
             & l t ; / v a l u e & g t ;  
         & l t ; / i t e m & g t ;  
         & l t ; i t e m & g t ;  
             & l t ; k e y & g t ;  
                 & l t ; s t r i n g & g t ; W e e k e n d & l t ; / s t r i n g & g t ;  
             & l t ; / k e y & g t ;  
             & l t ; v a l u e & g t ;  
                 & l t ; i n t & g t ; 1 1 8 & l t ; / i n t & g t ;  
             & l t ; / v a l u e & g t ;  
         & l t ; / i t e m & g t ;  
         & l t ; i t e m & g t ;  
             & l t ; k e y & g t ;  
                 & l t ; s t r i n g & g t ; R e g i o n & l t ; / s t r i n g & g t ;  
             & l t ; / k e y & g t ;  
             & l t ; v a l u e & g t ;  
                 & l t ; i n t & g t ; 1 0 2 & l t ; / i n t & g t ;  
             & l t ; / v a l u e & g t ;  
         & l t ; / i t e m & g t ;  
         & l t ; i t e m & g t ;  
             & l t ; k e y & g t ;  
                 & l t ; s t r i n g & g t ; Y e a r & l t ; / s t r i n g & g t ;  
             & l t ; / k e y & g t ;  
             & l t ; v a l u e & g t ;  
                 & l t ; i n t & g t ; 8 5 & l t ; / i n t & g t ;  
             & l t ; / v a l u e & g t ;  
         & l t ; / i t e m & g t ;  
         & l t ; i t e m & g t ;  
             & l t ; k e y & g t ;  
                 & l t ; s t r i n g & g t ; B e d s   o c c   o v e r   7   d a y s & l t ; / s t r i n g & g t ;  
             & l t ; / k e y & g t ;  
             & l t ; v a l u e & g t ;  
                 & l t ; i n t & g t ; 1 8 4 & l t ; / i n t & g t ;  
             & l t ; / v a l u e & g t ;  
         & l t ; / i t e m & g t ;  
         & l t ; i t e m & g t ;  
             & l t ; k e y & g t ;  
                 & l t ; s t r i n g & g t ; B e d s   o c c   o v e r   2 1   d a y s & l t ; / s t r i n g & g t ;  
             & l t ; / k e y & g t ;  
             & l t ; v a l u e & g t ;  
                 & l t ; i n t & g t ; 1 9 1 & l t ; / i n t & g t ;  
             & l t ; / v a l u e & g t ;  
         & l t ; / i t e m & g t ;  
         & l t ; i t e m & g t ;  
             & l t ; k e y & g t ;  
                 & l t ; s t r i n g & g t ; A m b   a r r i v a l s & l t ; / s t r i n g & g t ;  
             & l t ; / k e y & g t ;  
             & l t ; v a l u e & g t ;  
                 & l t ; i n t & g t ; 1 3 6 & l t ; / i n t & g t ;  
             & l t ; / v a l u e & g t ;  
         & l t ; / i t e m & g t ;  
         & l t ; i t e m & g t ;  
             & l t ; k e y & g t ;  
                 & l t ; s t r i n g & g t ; A m b   d e l a y s   3 0 - 6 0   m i n s & l t ; / s t r i n g & g t ;  
             & l t ; / k e y & g t ;  
             & l t ; v a l u e & g t ;  
                 & l t ; i n t & g t ; 2 0 0 & l t ; / i n t & g t ;  
             & l t ; / v a l u e & g t ;  
         & l t ; / i t e m & g t ;  
         & l t ; i t e m & g t ;  
             & l t ; k e y & g t ;  
                 & l t ; s t r i n g & g t ; A m b   d e l a y s   o v e r   6 0   m i n s & l t ; / s t r i n g & g t ;  
             & l t ; / k e y & g t ;  
             & l t ; v a l u e & g t ;  
                 & l t ; i n t & g t ; 2 1 2 & l t ; / i n t & g t ;  
             & l t ; / v a l u e & g t ;  
         & l t ; / i t e m & g t ;  
         & l t ; i t e m & g t ;  
             & l t ; k e y & g t ;  
                 & l t ; s t r i n g & g t ; B e d s   o c c   o v e r   1 4   d a y s & l t ; / s t r i n g & g t ;  
             & l t ; / k e y & g t ;  
             & l t ; v a l u e & g t ;  
                 & l t ; i n t & g t ; 1 9 1 & l t ; / i n t & g t ;  
             & l t ; / v a l u e & g t ;  
         & l t ; / i t e m & g t ;  
     & l t ; / C o l u m n W i d t h s & g t ;  
     & l t ; C o l u m n D i s p l a y I n d e x & g t ;  
         & l t ; i t e m & g t ;  
             & l t ; k e y & g t ;  
                 & l t ; s t r i n g & g t ; I D & l t ; / s t r i n g & g t ;  
             & l t ; / k e y & g t ;  
             & l t ; v a l u e & g t ;  
                 & l t ; i n t & g t ; 0 & l t ; / i n t & g t ;  
             & l t ; / v a l u e & g t ;  
         & l t ; / i t e m & g t ;  
         & l t ; i t e m & g t ;  
             & l t ; k e y & g t ;  
                 & l t ; s t r i n g & g t ; c r i _ i d & l t ; / s t r i n g & g t ;  
             & l t ; / k e y & g t ;  
             & l t ; v a l u e & g t ;  
                 & l t ; i n t & g t ; 1 & l t ; / i n t & g t ;  
             & l t ; / v a l u e & g t ;  
         & l t ; / i t e m & g t ;  
         & l t ; i t e m & g t ;  
             & l t ; k e y & g t ;  
                 & l t ; s t r i n g & g t ; d r _ i d & l t ; / s t r i n g & g t ;  
             & l t ; / k e y & g t ;  
             & l t ; v a l u e & g t ;  
                 & l t ; i n t & g t ; 2 & l t ; / i n t & g t ;  
             & l t ; / v a l u e & g t ;  
         & l t ; / i t e m & g t ;  
         & l t ; i t e m & g t ;  
             & l t ; k e y & g t ;  
                 & l t ; s t r i n g & g t ; o r g _ i d & l t ; / s t r i n g & g t ;  
             & l t ; / k e y & g t ;  
             & l t ; v a l u e & g t ;  
                 & l t ; i n t & g t ; 3 & l t ; / i n t & g t ;  
             & l t ; / v a l u e & g t ;  
         & l t ; / i t e m & g t ;  
         & l t ; i t e m & g t ;  
             & l t ; k e y & g t ;  
                 & l t ; s t r i n g & g t ; c r i _ d a t a p e r i o d s t a r t & l t ; / s t r i n g & g t ;  
             & l t ; / k e y & g t ;  
             & l t ; v a l u e & g t ;  
                 & l t ; i n t & g t ; 4 & l t ; / i n t & g t ;  
             & l t ; / v a l u e & g t ;  
         & l t ; / i t e m & g t ;  
         & l t ; i t e m & g t ;  
             & l t ; k e y & g t ;  
                 & l t ; s t r i n g & g t ; C o d e & l t ; / s t r i n g & g t ;  
             & l t ; / k e y & g t ;  
             & l t ; v a l u e & g t ;  
                 & l t ; i n t & g t ; 5 & l t ; / i n t & g t ;  
             & l t ; / v a l u e & g t ;  
         & l t ; / i t e m & g t ;  
         & l t ; i t e m & g t ;  
             & l t ; k e y & g t ;  
                 & l t ; s t r i n g & g t ; N a m e & l t ; / s t r i n g & g t ;  
             & l t ; / k e y & g t ;  
             & l t ; v a l u e & g t ;  
                 & l t ; i n t & g t ; 6 & l t ; / i n t & g t ;  
             & l t ; / v a l u e & g t ;  
         & l t ; / i t e m & g t ;  
         & l t ; i t e m & g t ;  
             & l t ; k e y & g t ;  
                 & l t ; s t r i n g & g t ; D a t e & l t ; / s t r i n g & g t ;  
             & l t ; / k e y & g t ;  
             & l t ; v a l u e & g t ;  
                 & l t ; i n t & g t ; 7 & l t ; / i n t & g t ;  
             & l t ; / v a l u e & g t ;  
         & l t ; / i t e m & g t ;  
         & l t ; i t e m & g t ;  
             & l t ; k e y & g t ;  
                 & l t ; s t r i n g & g t ; W e e k & l t ; / s t r i n g & g t ;  
             & l t ; / k e y & g t ;  
             & l t ; v a l u e & g t ;  
                 & l t ; i n t & g t ; 8 & l t ; / i n t & g t ;  
             & l t ; / v a l u e & g t ;  
         & l t ; / i t e m & g t ;  
         & l t ; i t e m & g t ;  
             & l t ; k e y & g t ;  
                 & l t ; s t r i n g & g t ; D a y & l t ; / s t r i n g & g t ;  
             & l t ; / k e y & g t ;  
             & l t ; v a l u e & g t ;  
                 & l t ; i n t & g t ; 9 & l t ; / i n t & g t ;  
             & l t ; / v a l u e & g t ;  
         & l t ; / i t e m & g t ;  
         & l t ; i t e m & g t ;  
             & l t ; k e y & g t ;  
                 & l t ; s t r i n g & g t ; B a n k   h o l i d a y & l t ; / s t r i n g & g t ;  
             & l t ; / k e y & g t ;  
             & l t ; v a l u e & g t ;  
                 & l t ; i n t & g t ; 1 0 & l t ; / i n t & g t ;  
             & l t ; / v a l u e & g t ;  
         & l t ; / i t e m & g t ;  
         & l t ; i t e m & g t ;  
             & l t ; k e y & g t ;  
                 & l t ; s t r i n g & g t ; A & a m p ; a m p ; E   c l o s u r e s & l t ; / s t r i n g & g t ;  
             & l t ; / k e y & g t ;  
             & l t ; v a l u e & g t ;  
                 & l t ; i n t & g t ; 1 1 & l t ; / i n t & g t ;  
             & l t ; / v a l u e & g t ;  
         & l t ; / i t e m & g t ;  
         & l t ; i t e m & g t ;  
             & l t ; k e y & g t ;  
                 & l t ; s t r i n g & g t ; A & a m p ; a m p ; E   d i v e r t s & l t ; / s t r i n g & g t ;  
             & l t ; / k e y & g t ;  
             & l t ; v a l u e & g t ;  
                 & l t ; i n t & g t ; 1 2 & l t ; / i n t & g t ;  
             & l t ; / v a l u e & g t ;  
         & l t ; / i t e m & g t ;  
         & l t ; i t e m & g t ;  
             & l t ; k e y & g t ;  
                 & l t ; s t r i n g & g t ; A & a m p ; a m p ; E   t y p e   1   a t t e n d a n c e s & l t ; / s t r i n g & g t ;  
             & l t ; / k e y & g t ;  
             & l t ; v a l u e & g t ;  
                 & l t ; i n t & g t ; 1 3 & l t ; / i n t & g t ;  
             & l t ; / v a l u e & g t ;  
         & l t ; / i t e m & g t ;  
         & l t ; i t e m & g t ;  
             & l t ; k e y & g t ;  
                 & l t ; s t r i n g & g t ; A & a m p ; a m p ; E   t y p e   2   a t t e n d a n c e s & l t ; / s t r i n g & g t ;  
             & l t ; / k e y & g t ;  
             & l t ; v a l u e & g t ;  
                 & l t ; i n t & g t ; 1 4 & l t ; / i n t & g t ;  
             & l t ; / v a l u e & g t ;  
         & l t ; / i t e m & g t ;  
         & l t ; i t e m & g t ;  
             & l t ; k e y & g t ;  
                 & l t ; s t r i n g & g t ; A & a m p ; a m p ; E   t y p e   3   a t t e n d a n c e s & l t ; / s t r i n g & g t ;  
             & l t ; / k e y & g t ;  
             & l t ; v a l u e & g t ;  
                 & l t ; i n t & g t ; 1 5 & l t ; / i n t & g t ;  
             & l t ; / v a l u e & g t ;  
         & l t ; / i t e m & g t ;  
         & l t ; i t e m & g t ;  
             & l t ; k e y & g t ;  
                 & l t ; s t r i n g & g t ; A & a m p ; a m p ; E   t o t a l   a t t e n d a n c e s & l t ; / s t r i n g & g t ;  
             & l t ; / k e y & g t ;  
             & l t ; v a l u e & g t ;  
                 & l t ; i n t & g t ; 1 6 & l t ; / i n t & g t ;  
             & l t ; / v a l u e & g t ;  
         & l t ; / i t e m & g t ;  
         & l t ; i t e m & g t ;  
             & l t ; k e y & g t ;  
                 & l t ; s t r i n g & g t ; E m e r g e n c y   a d m i s s i o n s & l t ; / s t r i n g & g t ;  
             & l t ; / k e y & g t ;  
             & l t ; v a l u e & g t ;  
                 & l t ; i n t & g t ; 1 7 & l t ; / i n t & g t ;  
             & l t ; / v a l u e & g t ;  
         & l t ; / i t e m & g t ;  
         & l t ; i t e m & g t ;  
             & l t ; k e y & g t ;  
                 & l t ; s t r i n g & g t ; G & a m p ; a m p ; A   c o r e   b e d s   a v a i l & l t ; / s t r i n g & g t ;  
             & l t ; / k e y & g t ;  
             & l t ; v a l u e & g t ;  
                 & l t ; i n t & g t ; 1 8 & l t ; / i n t & g t ;  
             & l t ; / v a l u e & g t ;  
         & l t ; / i t e m & g t ;  
         & l t ; i t e m & g t ;  
             & l t ; k e y & g t ;  
                 & l t ; s t r i n g & g t ; G & a m p ; a m p ; A   e s c a l a t i o n   b e d s   a v a i l & l t ; / s t r i n g & g t ;  
             & l t ; / k e y & g t ;  
             & l t ; v a l u e & g t ;  
                 & l t ; i n t & g t ; 1 9 & l t ; / i n t & g t ;  
             & l t ; / v a l u e & g t ;  
         & l t ; / i t e m & g t ;  
         & l t ; i t e m & g t ;  
             & l t ; k e y & g t ;  
                 & l t ; s t r i n g & g t ; G & a m p ; a m p ; A   t o t a l   b e d s   a v a i l & l t ; / s t r i n g & g t ;  
             & l t ; / k e y & g t ;  
             & l t ; v a l u e & g t ;  
                 & l t ; i n t & g t ; 2 0 & l t ; / i n t & g t ;  
             & l t ; / v a l u e & g t ;  
         & l t ; / i t e m & g t ;  
         & l t ; i t e m & g t ;  
             & l t ; k e y & g t ;  
                 & l t ; s t r i n g & g t ; G & a m p ; a m p ; A   t o t a l   b e d s   o c c u p i e d & l t ; / s t r i n g & g t ;  
             & l t ; / k e y & g t ;  
             & l t ; v a l u e & g t ;  
                 & l t ; i n t & g t ; 2 1 & l t ; / i n t & g t ;  
             & l t ; / v a l u e & g t ;  
         & l t ; / i t e m & g t ;  
         & l t ; i t e m & g t ;  
             & l t ; k e y & g t ;  
                 & l t ; s t r i n g & g t ; B e d s   c l o s e d   n o r o v i r u s & l t ; / s t r i n g & g t ;  
             & l t ; / k e y & g t ;  
             & l t ; v a l u e & g t ;  
                 & l t ; i n t & g t ; 2 2 & l t ; / i n t & g t ;  
             & l t ; / v a l u e & g t ;  
         & l t ; / i t e m & g t ;  
         & l t ; i t e m & g t ;  
             & l t ; k e y & g t ;  
                 & l t ; s t r i n g & g t ; B e d s   c l o s e d   n o r o v i u s   u n o c c & l t ; / s t r i n g & g t ;  
             & l t ; / k e y & g t ;  
             & l t ; v a l u e & g t ;  
                 & l t ; i n t & g t ; 2 3 & l t ; / i n t & g t ;  
             & l t ; / v a l u e & g t ;  
         & l t ; / i t e m & g t ;  
         & l t ; i t e m & g t ;  
             & l t ; k e y & g t ;  
                 & l t ; s t r i n g & g t ; A d u l t   C C   b e d s   a v a i l & l t ; / s t r i n g & g t ;  
             & l t ; / k e y & g t ;  
             & l t ; v a l u e & g t ;  
                 & l t ; i n t & g t ; 2 4 & l t ; / i n t & g t ;  
             & l t ; / v a l u e & g t ;  
         & l t ; / i t e m & g t ;  
         & l t ; i t e m & g t ;  
             & l t ; k e y & g t ;  
                 & l t ; s t r i n g & g t ; A d u l t   C C   b e d s   o c c & l t ; / s t r i n g & g t ;  
             & l t ; / k e y & g t ;  
             & l t ; v a l u e & g t ;  
                 & l t ; i n t & g t ; 2 5 & l t ; / i n t & g t ;  
             & l t ; / v a l u e & g t ;  
         & l t ; / i t e m & g t ;  
         & l t ; i t e m & g t ;  
             & l t ; k e y & g t ;  
                 & l t ; s t r i n g & g t ; P a e d   I n t   C a r e   A v a i l & l t ; / s t r i n g & g t ;  
             & l t ; / k e y & g t ;  
             & l t ; v a l u e & g t ;  
                 & l t ; i n t & g t ; 2 6 & l t ; / i n t & g t ;  
             & l t ; / v a l u e & g t ;  
         & l t ; / i t e m & g t ;  
         & l t ; i t e m & g t ;  
             & l t ; k e y & g t ;  
                 & l t ; s t r i n g & g t ; P a e d   I n t   C a r e   O c c & l t ; / s t r i n g & g t ;  
             & l t ; / k e y & g t ;  
             & l t ; v a l u e & g t ;  
                 & l t ; i n t & g t ; 2 7 & l t ; / i n t & g t ;  
             & l t ; / v a l u e & g t ;  
         & l t ; / i t e m & g t ;  
         & l t ; i t e m & g t ;  
             & l t ; k e y & g t ;  
                 & l t ; s t r i n g & g t ; N e o   I n t   C a r e   A v a i l & l t ; / s t r i n g & g t ;  
             & l t ; / k e y & g t ;  
             & l t ; v a l u e & g t ;  
                 & l t ; i n t & g t ; 2 8 & l t ; / i n t & g t ;  
             & l t ; / v a l u e & g t ;  
         & l t ; / i t e m & g t ;  
         & l t ; i t e m & g t ;  
             & l t ; k e y & g t ;  
                 & l t ; s t r i n g & g t ; N e o   I n t   C a r e   o c c & l t ; / s t r i n g & g t ;  
             & l t ; / k e y & g t ;  
             & l t ; v a l u e & g t ;  
                 & l t ; i n t & g t ; 2 9 & l t ; / i n t & g t ;  
             & l t ; / v a l u e & g t ;  
         & l t ; / i t e m & g t ;  
         & l t ; i t e m & g t ;  
             & l t ; k e y & g t ;  
                 & l t ; s t r i n g & g t ; O P E L   3   o r   a b o v e & l t ; / s t r i n g & g t ;  
             & l t ; / k e y & g t ;  
             & l t ; v a l u e & g t ;  
                 & l t ; i n t & g t ; 3 0 & l t ; / i n t & g t ;  
             & l t ; / v a l u e & g t ;  
         & l t ; / i t e m & g t ;  
         & l t ; i t e m & g t ;  
             & l t ; k e y & g t ;  
                 & l t ; s t r i n g & g t ; W e e k e n d & l t ; / s t r i n g & g t ;  
             & l t ; / k e y & g t ;  
             & l t ; v a l u e & g t ;  
                 & l t ; i n t & g t ; 3 1 & l t ; / i n t & g t ;  
             & l t ; / v a l u e & g t ;  
         & l t ; / i t e m & g t ;  
         & l t ; i t e m & g t ;  
             & l t ; k e y & g t ;  
                 & l t ; s t r i n g & g t ; R e g i o n & l t ; / s t r i n g & g t ;  
             & l t ; / k e y & g t ;  
             & l t ; v a l u e & g t ;  
                 & l t ; i n t & g t ; 3 2 & l t ; / i n t & g t ;  
             & l t ; / v a l u e & g t ;  
         & l t ; / i t e m & g t ;  
         & l t ; i t e m & g t ;  
             & l t ; k e y & g t ;  
                 & l t ; s t r i n g & g t ; Y e a r & l t ; / s t r i n g & g t ;  
             & l t ; / k e y & g t ;  
             & l t ; v a l u e & g t ;  
                 & l t ; i n t & g t ; 3 3 & l t ; / i n t & g t ;  
             & l t ; / v a l u e & g t ;  
         & l t ; / i t e m & g t ;  
         & l t ; i t e m & g t ;  
             & l t ; k e y & g t ;  
                 & l t ; s t r i n g & g t ; B e d s   o c c   o v e r   7   d a y s & l t ; / s t r i n g & g t ;  
             & l t ; / k e y & g t ;  
             & l t ; v a l u e & g t ;  
                 & l t ; i n t & g t ; 3 4 & l t ; / i n t & g t ;  
             & l t ; / v a l u e & g t ;  
         & l t ; / i t e m & g t ;  
         & l t ; i t e m & g t ;  
             & l t ; k e y & g t ;  
                 & l t ; s t r i n g & g t ; B e d s   o c c   o v e r   2 1   d a y s & l t ; / s t r i n g & g t ;  
             & l t ; / k e y & g t ;  
             & l t ; v a l u e & g t ;  
                 & l t ; i n t & g t ; 3 5 & l t ; / i n t & g t ;  
             & l t ; / v a l u e & g t ;  
         & l t ; / i t e m & g t ;  
         & l t ; i t e m & g t ;  
             & l t ; k e y & g t ;  
                 & l t ; s t r i n g & g t ; A m b   a r r i v a l s & l t ; / s t r i n g & g t ;  
             & l t ; / k e y & g t ;  
             & l t ; v a l u e & g t ;  
                 & l t ; i n t & g t ; 3 6 & l t ; / i n t & g t ;  
             & l t ; / v a l u e & g t ;  
         & l t ; / i t e m & g t ;  
         & l t ; i t e m & g t ;  
             & l t ; k e y & g t ;  
                 & l t ; s t r i n g & g t ; A m b   d e l a y s   3 0 - 6 0   m i n s & l t ; / s t r i n g & g t ;  
             & l t ; / k e y & g t ;  
             & l t ; v a l u e & g t ;  
                 & l t ; i n t & g t ; 3 7 & l t ; / i n t & g t ;  
             & l t ; / v a l u e & g t ;  
         & l t ; / i t e m & g t ;  
         & l t ; i t e m & g t ;  
             & l t ; k e y & g t ;  
                 & l t ; s t r i n g & g t ; A m b   d e l a y s   o v e r   6 0   m i n s & l t ; / s t r i n g & g t ;  
             & l t ; / k e y & g t ;  
             & l t ; v a l u e & g t ;  
                 & l t ; i n t & g t ; 3 8 & l t ; / i n t & g t ;  
             & l t ; / v a l u e & g t ;  
         & l t ; / i t e m & g t ;  
         & l t ; i t e m & g t ;  
             & l t ; k e y & g t ;  
                 & l t ; s t r i n g & g t ; B e d s   o c c   o v e r   1 4   d a y s & l t ; / s t r i n g & g t ;  
             & l t ; / k e y & g t ;  
             & l t ; v a l u e & g t ;  
                 & l t ; i n t & g t ; 3 9 & l t ; / i n t & g t ;  
             & l t ; / v a l u e & g t ;  
         & l t ; / i t e m & g t ;  
     & l t ; / C o l u m n D i s p l a y I n d e x & g t ;  
     & l t ; C o l u m n F r o z e n   / & g t ;  
     & l t ; C o l u m n C h e c k e d & g t ;  
         & l t ; i t e m & g t ;  
             & l t ; k e y & g t ;  
                 & l t ; s t r i n g & g t ; B e d s   o c c   o v e r   1 4   d a y s & l t ; / s t r i n g & g t ; 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 2 5 c f a f c b - a 9 8 0 - 4 1 4 2 - 8 7 8 c - 1 d a d 5 9 5 7 9 3 4 c < / D a t a S o u r c e I D > < Q u e r y D e f i n i t i o n > S E L E C T   [ a d b ] . [ W i n t e r   d a i l y   s i t r e p s ] . *   	 	 F R O M   [ a d b ] . [ W i n t e r   d a i l y   s i t r e p s ] 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 W i n t e r   b e d   o c c   o v e r   1 4   d a y s < / I D > < N a m e > W i n t e r   b e d   o c c   o v e r   1 4   d a y s < / N a m e > < M e a s u r e s > < M e a s u r e > < I D > W i n t e r   b e d   o c c   o v e r   1 4   d a y s < / I D > < N a m e > _ C o u n t   W i n t e r   b e d   o c c   o v e r   1 4   d a y s 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 b e d   o c c   o v e r   1 4   d a y s < / C u b e D i m e n s i o n I D > < A t t r i b u t e s > < A t t r i b u t e > < A t t r i b u t e I D > R e g i o n < / A t t r i b u t e I D > < K e y C o l u m n s > < K e y C o l u m n > < D a t a T y p e > W C h a r < / D a t a T y p e > < N u l l P r o c e s s i n g > P r e s e r v e < / N u l l P r o c e s s i n g > < / K e y C o l u m n > < / K e y C o l u m n s > < / A t t r i b u t e > < A t t r i b u t e > < A t t r i b u t e I D > C o d e < / A t t r i b u t e I D > < K e y C o l u m n s > < K e y C o l u m n > < D a t a T y p e > W C h a r < / D a t a T y p e > < N u l l P r o c e s s i n g > P r e s e r v e < / N u l l P r o c e s s i n g > < / K e y C o l u m n > < / K e y C o l u m n s > < / A t t r i b u t e > < A t t r i b u t e > < A t t r i b u t e I D > N a m e < / A t t r i b u t e I D > < K e y C o l u m n s > < K e y C o l u m n > < D a t a T y p e > W C h a r < / D a t a T y p e > < N u l l P r o c e s s i n g > P r e s e r v e < / N u l l P r o c e s s i n g > < / K e y C o l u m n > < / K e y C o l u m n s > < / A t t r i b u t e > < A t t r i b u t e > < A t t r i b u t e I D > Y e a r < / A t t r i b u t e I D > < K e y C o l u m n s > < K e y C o l u m n > < D a t a T y p e > W C h a r < / D a t a T y p e > < N u l l P r o c e s s i n g > P r e s e r v e < / N u l l P r o c e s s i n g > < / K e y C o l u m n > < / K e y C o l u m n s > < / A t t r i b u t e > < A t t r i b u t e > < A t t r i b u t e I D > D a t e < / A t t r i b u t e I D > < K e y C o l u m n s > < K e y C o l u m n > < D a t a T y p e > D a t e < / D a t a T y p e > < N u l l P r o c e s s i n g > P r e s e r v e < / N u l l P r o c e s s i n g > < / K e y C o l u m n > < / K e y C o l u m n s > < / A t t r i b u t e > < A t t r i b u t e > < A t t r i b u t e I D > W e e k < / A t t r i b u t e I D > < K e y C o l u m n s > < K e y C o l u m n > < D a t a T y p e > B i g I n t < / D a t a T y p e > < N u l l P r o c e s s i n g > P r e s e r v e < / N u l l P r o c e s s i n g > < / K e y C o l u m n > < / K e y C o l u m n s > < / A t t r i b u t e > < A t t r i b u t e > < A t t r i b u t e I D > D a y < / A t t r i b u t e I D > < K e y C o l u m n s > < K e y C o l u m n > < D a t a T y p e > W C h a r < / D a t a T y p e > < N u l l P r o c e s s i n g > P r e s e r v e < / N u l l P r o c e s s i n g > < / K e y C o l u m n > < / K e y C o l u m n s > < / A t t r i b u t e > < A t t r i b u t e > < A t t r i b u t e I D > W e e k e n d < / A t t r i b u t e I D > < K e y C o l u m n s > < K e y C o l u m n > < D a t a T y p e > B i g I n t < / D a t a T y p e > < N u l l P r o c e s s i n g > P r e s e r v e < / N u l l P r o c e s s i n g > < / K e y C o l u m n > < / K e y C o l u m n s > < / A t t r i b u t e > < A t t r i b u t e > < A t t r i b u t e I D > B a n k   h o l i d a y < / A t t r i b u t e I D > < K e y C o l u m n s > < K e y C o l u m n > < D a t a T y p e > W C h a r < / D a t a T y p e > < N u l l P r o c e s s i n g > P r e s e r v e < / N u l l P r o c e s s i n g > < / K e y C o l u m n > < / K e y C o l u m n s > < / A t t r i b u t e > < A t t r i b u t e > < A t t r i b u t e I D > A   E   c l o s u r e s < / A t t r i b u t e I D > < K e y C o l u m n s > < K e y C o l u m n > < D a t a T y p e > B i g I n t < / D a t a T y p e > < N u l l P r o c e s s i n g > P r e s e r v e < / N u l l P r o c e s s i n g > < / K e y C o l u m n > < / K e y C o l u m n s > < / A t t r i b u t e > < A t t r i b u t e > < A t t r i b u t e I D > A   E   d i v e r t s < / A t t r i b u t e I D > < K e y C o l u m n s > < K e y C o l u m n > < D a t a T y p e > B i g I n t < / D a t a T y p e > < N u l l P r o c e s s i n g > P r e s e r v e < / N u l l P r o c e s s i n g > < / K e y C o l u m n > < / K e y C o l u m n s > < / A t t r i b u t e > < A t t r i b u t e > < A t t r i b u t e I D > G   A   c o r e   b e d s   a v a i l < / A t t r i b u t e I D > < K e y C o l u m n s > < K e y C o l u m n > < D a t a T y p e > B i g I n t < / D a t a T y p e > < N u l l P r o c e s s i n g > P r e s e r v e < / N u l l P r o c e s s i n g > < / K e y C o l u m n > < / K e y C o l u m n s > < / A t t r i b u t e > < A t t r i b u t e > < A t t r i b u t e I D > G   A   e s c a l a t i o n   b e d s   a v a i l < / A t t r i b u t e I D > < K e y C o l u m n s > < K e y C o l u m n > < D a t a T y p e > B i g I n t < / D a t a T y p e > < N u l l P r o c e s s i n g > P r e s e r v e < / N u l l P r o c e s s i n g > < / K e y C o l u m n > < / K e y C o l u m n s > < / A t t r i b u t e > < A t t r i b u t e > < A t t r i b u t e I D > G   A   t o t a l   b e d s   a v a i l < / A t t r i b u t e I D > < K e y C o l u m n s > < K e y C o l u m n > < D a t a T y p e > B i g I n t < / D a t a T y p e > < N u l l P r o c e s s i n g > P r e s e r v e < / N u l l P r o c e s s i n g > < / K e y C o l u m n > < / K e y C o l u m n s > < / A t t r i b u t e > < A t t r i b u t e > < A t t r i b u t e I D > G   A   t o t a l   b e d s   o c c u p i e d < / A t t r i b u t e I D > < K e y C o l u m n s > < K e y C o l u m n > < D a t a T y p e > B i g I n t < / D a t a T y p e > < N u l l P r o c e s s i n g > P r e s e r v e < / N u l l P r o c e s s i n g > < / K e y C o l u m n > < / K e y C o l u m n s > < / A t t r i b u t e > < A t t r i b u t e > < A t t r i b u t e I D > B e d s   o c c   o v e r   7   d a y s < / A t t r i b u t e I D > < K e y C o l u m n s > < K e y C o l u m n > < D a t a T y p e > B i g I n t < / D a t a T y p e > < N u l l P r o c e s s i n g > P r e s e r v e < / N u l l P r o c e s s i n g > < / K e y C o l u m n > < / K e y C o l u m n s > < / A t t r i b u t e > < A t t r i b u t e > < A t t r i b u t e I D > B e d s   o c c   o v e r   2 1   d a y s < / A t t r i b u t e I D > < K e y C o l u m n s > < K e y C o l u m n > < D a t a T y p e > B i g I n t < / D a t a T y p e > < N u l l P r o c e s s i n g > P r e s e r v e < / N u l l P r o c e s s i n g > < / K e y C o l u m n > < / K e y C o l u m n s > < / A t t r i b u t e > < A t t r i b u t e > < A t t r i b u t e I D > B e d s   c l o s e d   n o r o v i r u s < / A t t r i b u t e I D > < K e y C o l u m n s > < K e y C o l u m n > < D a t a T y p e > B i g I n t < / D a t a T y p e > < N u l l P r o c e s s i n g > P r e s e r v e < / N u l l P r o c e s s i n g > < / K e y C o l u m n > < / K e y C o l u m n s > < / A t t r i b u t e > < A t t r i b u t e > < A t t r i b u t e I D > B e d s   c l o s e d   n o r o v i u s   u n o c c < / A t t r i b u t e I D > < K e y C o l u m n s > < K e y C o l u m n > < D a t a T y p e > B i g I n t < / D a t a T y p e > < N u l l P r o c e s s i n g > P r e s e r v e < / N u l l P r o c e s s i n g > < / K e y C o l u m n > < / K e y C o l u m n s > < / A t t r i b u t e > < A t t r i b u t e > < A t t r i b u t e I D > A d u l t   C C   b e d s   a v a i l < / A t t r i b u t e I D > < K e y C o l u m n s > < K e y C o l u m n > < D a t a T y p e > B i g I n t < / D a t a T y p e > < N u l l P r o c e s s i n g > P r e s e r v e < / N u l l P r o c e s s i n g > < / K e y C o l u m n > < / K e y C o l u m n s > < / A t t r i b u t e > < A t t r i b u t e > < A t t r i b u t e I D > A d u l t   C C   b e d s   o c c < / A t t r i b u t e I D > < K e y C o l u m n s > < K e y C o l u m n > < D a t a T y p e > B i g I n t < / D a t a T y p e > < N u l l P r o c e s s i n g > P r e s e r v e < / N u l l P r o c e s s i n g > < / K e y C o l u m n > < / K e y C o l u m n s > < / A t t r i b u t e > < A t t r i b u t e > < A t t r i b u t e I D > P a e d   I n t   C a r e   A v a i l < / A t t r i b u t e I D > < K e y C o l u m n s > < K e y C o l u m n > < D a t a T y p e > B i g I n t < / D a t a T y p e > < N u l l P r o c e s s i n g > P r e s e r v e < / N u l l P r o c e s s i n g > < / K e y C o l u m n > < / K e y C o l u m n s > < / A t t r i b u t e > < A t t r i b u t e > < A t t r i b u t e I D > P a e d   I n t   C a r e   O c c < / A t t r i b u t e I D > < K e y C o l u m n s > < K e y C o l u m n > < D a t a T y p e > B i g I n t < / D a t a T y p e > < N u l l P r o c e s s i n g > P r e s e r v e < / N u l l P r o c e s s i n g > < / K e y C o l u m n > < / K e y C o l u m n s > < / A t t r i b u t e > < A t t r i b u t e > < A t t r i b u t e I D > N e o   I n t   C a r e   A v a i l < / A t t r i b u t e I D > < K e y C o l u m n s > < K e y C o l u m n > < D a t a T y p e > B i g I n t < / D a t a T y p e > < N u l l P r o c e s s i n g > P r e s e r v e < / N u l l P r o c e s s i n g > < / K e y C o l u m n > < / K e y C o l u m n s > < / A t t r i b u t e > < A t t r i b u t e > < A t t r i b u t e I D > N e o   I n t   C a r e   o c c < / A t t r i b u t e I D > < K e y C o l u m n s > < K e y C o l u m n > < D a t a T y p e > B i g I n t < / D a t a T y p e > < N u l l P r o c e s s i n g > P r e s e r v e < / N u l l P r o c e s s i n g > < / K e y C o l u m n > < / K e y C o l u m n s > < / A t t r i b u t e > < A t t r i b u t e > < A t t r i b u t e I D > A m b   a r r i v a l s < / A t t r i b u t e I D > < K e y C o l u m n s > < K e y C o l u m n > < D a t a T y p e > B i g I n t < / D a t a T y p e > < N u l l P r o c e s s i n g > P r e s e r v e < / N u l l P r o c e s s i n g > < / K e y C o l u m n > < / K e y C o l u m n s > < / A t t r i b u t e > < A t t r i b u t e > < A t t r i b u t e I D > A m b   d e l a y s   3 0 - 6 0   m i n s < / A t t r i b u t e I D > < K e y C o l u m n s > < K e y C o l u m n > < D a t a T y p e > B i g I n t < / D a t a T y p e > < N u l l P r o c e s s i n g > P r e s e r v e < / N u l l P r o c e s s i n g > < / K e y C o l u m n > < / K e y C o l u m n s > < / A t t r i b u t e > < A t t r i b u t e > < A t t r i b u t e I D > A m b   d e l a y s   o v e r   6 0   m i n s < / A t t r i b u t e I D > < K e y C o l u m n s > < K e y C o l u m n > < D a t a T y p e > B i g I n t < / D a t a T y p e > < N u l l P r o c e s s i n g > P r e s e r v e < / N u l l P r o c e s s i n g > < / K e y C o l u m n > < / K e y C o l u m n s > < / A t t r i b u t e > < A t t r i b u t e > < A t t r i b u t e I D > B e d s   o c c   o v e r   1 4   d a y s < / A t t r i b u t e I D > < K e y C o l u m n s > < K e y C o l u m n > < D a t a T y p e > B i g I n t < / D a t a T y p e > < N u l l P r o c e s s i n g > P r e s e r v e < / N u l l P r o c e s s i n g > < / K e y C o l u m n > < / K e y C o l u m n s > < / A t t r i b u t e > < A t t r i b u t e > < A t t r i b u t e I D > R o w N u m b e r < / A t t r i b u t e I D > < K e y C o l u m n s > < K e y C o l u m n > < D a t a T y p e > I n t e g e r < / D a t a T y p e > < S o u r c e   x s i : t y p e = " C o l u m n B i n d i n g " > < T a b l e I D > W i n t e r _ x 0 0 2 0 _ b e d _ x 0 0 2 0 _ o c c _ x 0 0 2 0 _ o v e r _ x 0 0 2 0 _ 1 4 _ x 0 0 2 0 _ d a y s < / T a b l e I D > < C o l u m n I D > R o w N u m b e r < / C o l u m n I D > < / S o u r c e > < / K e y C o l u m n > < / K e y C o l u m n s > < T y p e > G r a n u l a r i t y < / T y p e > < / A t t r i b u t e > < / A t t r i b u t e s > < d d l 2 0 0 _ 2 0 0 : S h a r e D i m e n s i o n S t o r a g e > S h a r e d < / d d l 2 0 0 _ 2 0 0 : S h a r e D i m e n s i o n S t o r a g e > < / D i m e n s i o n > < / D i m e n s i o n s > < P a r t i t i o n s > < P a r t i t i o n > < I D > W i n t e r   b e d   o c c   o v e r   1 4   d a y s < / I D > < N a m e > W i n t e r   b e d   o c c   o v e r   1 4   d a y s 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 ' W i n t e r   d a i l y   s i t r e p s ' [ S u m   o f   A E   d i v e r t s ] = S U M ( ' W i n t e r   d a i l y   s i t r e p s ' [ A E   d i v e r t s ] ) ;  
 C R E A T E   M E A S U R E   ' W i n t e r   d a i l y   s i t r e p s ' [ S u m   o f   G A   t o t a l   b e d s   o c c u p i e d ] = S U M ( ' W i n t e r   d a i l y   s i t r e p s ' [ G A   t o t a l   b e d s   o c c u p i e d ] ) ;  
 C R E A T E   M E A S U R E   ' W i n t e r   d a i l y   s i t r e p s ' [ A v e r a g e   o f   G A   t o t a l   b e d s   o c c u p i e d ] = A V E R A G E ( ' W i n t e r   d a i l y   s i t r e p s ' [ G A   t o t a l   b e d s   o c c u p i e d ] ) ;  
 C R E A T E   M E A S U R E   ' W i n t e r   d a i l y   s i t r e p s ' [ S u m   o f   G A   t o t a l   b e d s   a v a i l ] = S U M ( ' W i n t e r   d a i l y   s i t r e p s ' [ G A   t o t a l   b e d s   a v a i l ] ) ;  
 C R E A T E   M E A S U R E   ' W i n t e r   d a i l y   s i t r e p s ' [ S u m   o f   B e d s   o c c   o v e r   7   d a y s ] = S U M ( ' W i n t e r   d a i l y   s i t r e p s ' [ B e d s   o c c   o v e r   7   d a y s ] ) ;  
 C R E A T E   M E A S U R E   ' W i n t e r   d a i l y   s i t r e p s ' [ S u m   o f   B e d s   o c c   o v e r   2 1   d a y s ] = S U M ( ' W i n t e r   d a i l y   s i t r e p s ' [ B e d s   o c c   o v e r   2 1   d a y s ] ) ;  
 C R E A T E   M E A S U R E   ' W i n t e r   d a i l y   s i t r e p s ' [ A v e r a g e   o f   B e d s   o c c   o v e r   2 1   d a y s ] = A V E R A G E ( ' W i n t e r   d a i l y   s i t r e p s ' [ B e d s   o c c   o v e r   2 1   d a y s ] ) ;  
 C R E A T E   M E A S U R E   ' W i n t e r   d a i l y   s i t r e p s ' [ S u m   o f   B e d s   c l o s e d   n o r o v i r u s ] = S U M ( ' W i n t e r   d a i l y   s i t r e p s ' [ B e d s   c l o s e d   n o r o v i r u s ] ) ;  
 C R E A T E   M E A S U R E   ' W i n t e r   d a i l y   s i t r e p s ' [ A v e r a g e   o f   B e d s   c l o s e d   n o r o v i r u s ] = A V E R A G E ( ' W i n t e r   d a i l y   s i t r e p s ' [ B e d s   c l o s e d   n o r o v i r u s ] ) ;  
 C R E A T E   M E A S U R E   ' W i n t e r   d a i l y   s i t r e p s ' [ S u m   o f   B e d s   c l o s e d   n o r o v i u s   u n o c c ] = S U M ( ' W i n t e r   d a i l y   s i t r e p s ' [ B e d s   c l o s e d   n o r o v i u s   u n o c c ] ) ;  
 C R E A T E   M E A S U R E   ' W i n t e r   d a i l y   s i t r e p s ' [ S u m   o f   A m b   a r r i v a l s ] = S U M ( ' W i n t e r   d a i l y   s i t r e p s ' [ A m b   a r r i v a l s ] ) ;  
 C R E A T E   M E A S U R E   ' W i n t e r   d a i l y   s i t r e p s ' [ S u m   o f   A m b   d e l a y s   3 0 - 6 0   m i n s ] = S U M ( ' W i n t e r   d a i l y   s i t r e p s ' [ A m b   d e l a y s   3 0 - 6 0   m i n s ] ) ;  
 C R E A T E   M E A S U R E   ' W i n t e r   d a i l y   s i t r e p s ' [ S u m   o f   A m b   d e l a y s   o v e r   6 0   m i n s ] = S U M ( ' W i n t e r   d a i l y   s i t r e p s ' [ A m b   d e l a y s   o v e r   6 0   m i n s ] ) ;  
 C R E A T E   M E A S U R E   ' W i n t e r   d a i l y   s i t r e p s ' [ S u m   o f   A d u l t   C C   b e d s   a v a i l ] = S U M ( ' W i n t e r   d a i l y   s i t r e p s ' [ A d u l t   C C   b e d s   a v a i l ] ) ;  
 C R E A T E   M E A S U R E   ' W i n t e r   d a i l y   s i t r e p s ' [ S u m   o f   A d u l t   C C   b e d s   o c c ] = S U M ( ' W i n t e r   d a i l y   s i t r e p s ' [ A d u l t   C C   b e d s   o c c ] ) ;  
 C R E A T E   M E A S U R E   ' W i n t e r   d a i l y   s i t r e p s ' [ S u m   o f   P a e d   I n t   C a r e   A v a i l ] = S U M ( ' W i n t e r   d a i l y   s i t r e p s ' [ P a e d   I n t   C a r e   A v a i l ] ) ;  
 C R E A T E   M E A S U R E   ' W i n t e r   d a i l y   s i t r e p s ' [ S u m   o f   P a e d   I n t   C a r e   O c c ] = S U M ( ' W i n t e r   d a i l y   s i t r e p s ' [ P a e d   I n t   C a r e   O c c ] ) ;  
 C R E A T E   M E A S U R E   ' W i n t e r   d a i l y   s i t r e p s ' [ S u m   o f   N e o   I n t   C a r e   A v a i l ] = S U M ( ' W i n t e r   d a i l y   s i t r e p s ' [ N e o   I n t   C a r e   A v a i l ] ) ;  
 C R E A T E   M E A S U R E   ' W i n t e r   d a i l y   s i t r e p s ' [ S u m   o f   N e o   I n t   C a r e   o c c ] = S U M ( ' W i n t e r   d a i l y   s i t r e p s ' [ N e o   I n t   C a r e   o c c ] ) ;  
 C R E A T E   M E A S U R E   ' W i n t e r   d a i l y   s i t r e p s ' [ A v e r a g e   o f   N e o   I n t   C a r e   A v a i l ] = A V E R A G E ( ' W i n t e r   d a i l y   s i t r e p s ' [ N e o   I n t   C a r e   A v a i l ] ) ;  
 C R E A T E   M E A S U R E   ' W i n t e r   d a i l y   s i t r e p s ' [ A v e r a g e   o f   N e o   I n t   C a r e   o c c ] = A V E R A G E ( ' W i n t e r   d a i l y   s i t r e p s ' [ N e o   I n t   C a r e   o c c ] ) ;  
 C R E A T E   M E A S U R E   ' W i n t e r   d a i l y   s i t r e p s ' [ S u m   o f   G A   b e d   o c c u p a n c y ] = S U M ( ' W i n t e r   d a i l y   s i t r e p s ' [ G A   b e d   o c c u p a n c y ] ) ;  
 C R E A T E   M E A S U R E   ' W i n t e r   d a i l y   s i t r e p s ' [ A v e r a g e   o f   G A   b e d   o c c u p a n c y ] = A V E R A G E ( ' W i n t e r   d a i l y   s i t r e p s ' [ G A   b e d   o c c u p a n c y ] ) ;  
 C R E A T E   M E A S U R E   ' W i n t e r   d a i l y   s i t r e p s ' [ S u m   o f   G A   c o r e   b e d s   a v a i l ] = S U M ( ' W i n t e r   d a i l y   s i t r e p s ' [ G A   c o r e   b e d s   a v a i l ] ) ;  
 C R E A T E   M E A S U R E   ' W i n t e r   d a i l y   s i t r e p s ' [ S u m   o f   G A   e s c a l a t i o n   b e d s   a v a i l ] = S U M ( ' W i n t e r   d a i l y   s i t r e p s ' [ G A   e s c a l a t i o n   b e d s   a v a i l ] ) ;  
 C R E A T E   M E A S U R E   ' W i n t e r   b e d   o c c   o v e r   1 4   d a y s ' [ S u m   o f   B e d s   o c c   o v e r   1 4   d a y s ] = S U M ( ' W i n t e r   b e d   o c c   o v e r   1 4   d a y s ' [ B e d s   o c c   o v e r   1 4   d a y s ] ) ;  
 C R E A T E   M E A S U R E   ' W i n t e r   d a i l y   s i t r e p s ' [ S u m   o f   B e d s   o c c   o v e r   1 4   d a y s   2 ] = S U M ( ' W i n t e r   d a i l y   s i t r e p s ' [ B e d s   o c c   o v e r   1 4   d a y s ] ) ;  
 < / T e x t > < / C o m m a n d > < / C o m m a n d s > < C a l c u l a t i o n P r o p e r t i e s > < C a l c u l a t i o n P r o p e r t y > < A n n o t a t i o n s > < A n n o t a t i o n > < N a m e > T y p e < / N a m e > < V a l u e > I m p l i c i t < / V a l u e > < / A n n o t a t i o n > < A n n o t a t i o n > < N a m e > I s P r i v a t e < / N a m e > < V a l u e > F a l s e < / V a l u e > < / A n n o t a t i o n > < A n n o t a t i o n > < N a m e > F o r m a t < / N a m e > < V a l u e > < F o r m a t   F o r m a t = " G e n e r a l "   x m l n s = " "   / > < / V a l u e > < / A n n o t a t i o n > < A n n o t a t i o n > < N a m e > R e f C o u n t < / N a m e > < V a l u e > 5 < / V a l u e > < / A n n o t a t i o n > < A n n o t a t i o n > < N a m e > C o l u m n < / N a m e > < V a l u e > A E   d i v e r t s < / V a l u e > < / A n n o t a t i o n > < A n n o t a t i o n > < N a m e > A g g r e g a t i o n < / N a m e > < V a l u e > S u m < / V a l u e > < / A n n o t a t i o n > < / A n n o t a t i o n s > < C a l c u l a t i o n R e f e r e n c e > [ S u m   o f   A E   d i v e r t s ] 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 S u m < / V a l u e > < / A n n o t a t i o n > < / A n n o t a t i o n s > < C a l c u l a t i o n R e f e r e n c e > [ S u m 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 A v e r a g e < / V a l u e > < / A n n o t a t i o n > < / A n n o t a t i o n s > < C a l c u l a t i o n R e f e r e n c e > [ A v e r a g e 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 t o t a l   b e d s   a v a i l < / V a l u e > < / A n n o t a t i o n > < A n n o t a t i o n > < N a m e > A g g r e g a t i o n < / N a m e > < V a l u e > S u m < / V a l u e > < / A n n o t a t i o n > < / A n n o t a t i o n s > < C a l c u l a t i o n R e f e r e n c e > [ S u m   o f   G A   t o t a l 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 7   d a y s < / V a l u e > < / A n n o t a t i o n > < A n n o t a t i o n > < N a m e > A g g r e g a t i o n < / N a m e > < V a l u e > S u m < / V a l u e > < / A n n o t a t i o n > < / A n n o t a t i o n s > < C a l c u l a t i o n R e f e r e n c e > [ S u m   o f   B e d s   o c c   o v e r   7   d a y s ] 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 S u m < / V a l u e > < / A n n o t a t i o n > < / A n n o t a t i o n s > < C a l c u l a t i o n R e f e r e n c e > [ S u m 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 A v e r a g e < / V a l u e > < / A n n o t a t i o n > < / A n n o t a t i o n s > < C a l c u l a t i o n R e f e r e n c e > [ A v e r a g e 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 B e d s   c l o s e d   n o r o v i r u s < / V a l u e > < / A n n o t a t i o n > < A n n o t a t i o n > < N a m e > A g g r e g a t i o n < / N a m e > < V a l u e > S u m < / V a l u e > < / A n n o t a t i o n > < / A n n o t a t i o n s > < C a l c u l a t i o n R e f e r e n c e > [ S u m   o f   B e d s   c l o s e d   n o r o v i r u s ] 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 c l o s e d   n o r o v i r u s < / V a l u e > < / A n n o t a t i o n > < A n n o t a t i o n > < N a m e > A g g r e g a t i o n < / N a m e > < V a l u e > A v e r a g e < / V a l u e > < / A n n o t a t i o n > < / A n n o t a t i o n s > < C a l c u l a t i o n R e f e r e n c e > [ A v e r a g e   o f   B e d s   c l o s e d   n o r o v i r u s ] 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 B e d s   c l o s e d   n o r o v i u s   u n o c c < / V a l u e > < / A n n o t a t i o n > < A n n o t a t i o n > < N a m e > A g g r e g a t i o n < / N a m e > < V a l u e > S u m < / V a l u e > < / A n n o t a t i o n > < / A n n o t a t i o n s > < C a l c u l a t i o n R e f e r e n c e > [ S u m   o f   B e d s   c l o s e d   n o r o v i u s   u n o c c ] 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 a r r i v a l s < / V a l u e > < / A n n o t a t i o n > < A n n o t a t i o n > < N a m e > A g g r e g a t i o n < / N a m e > < V a l u e > S u m < / V a l u e > < / A n n o t a t i o n > < / A n n o t a t i o n s > < C a l c u l a t i o n R e f e r e n c e > [ S u m   o f   A m b   a r r i v a l s ] 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 d e l a y s   3 0 - 6 0   m i n s < / V a l u e > < / A n n o t a t i o n > < A n n o t a t i o n > < N a m e > A g g r e g a t i o n < / N a m e > < V a l u e > S u m < / V a l u e > < / A n n o t a t i o n > < / A n n o t a t i o n s > < C a l c u l a t i o n R e f e r e n c e > [ S u m   o f   A m b   d e l a y s   3 0 - 6 0   m i n s ] 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 A m b   d e l a y s   o v e r   6 0   m i n s < / V a l u e > < / A n n o t a t i o n > < A n n o t a t i o n > < N a m e > A g g r e g a t i o n < / N a m e > < V a l u e > S u m < / V a l u e > < / A n n o t a t i o n > < / A n n o t a t i o n s > < C a l c u l a t i o n R e f e r e n c e > [ S u m   o f   A m b   d e l a y s   o v e r   6 0   m i n s ] 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 a v a i l < / V a l u e > < / A n n o t a t i o n > < A n n o t a t i o n > < N a m e > A g g r e g a t i o n < / N a m e > < V a l u e > S u m < / V a l u e > < / A n n o t a t i o n > < / A n n o t a t i o n s > < C a l c u l a t i o n R e f e r e n c e > [ S u m   o f   A d u l t   C C 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 o c c < / V a l u e > < / A n n o t a t i o n > < A n n o t a t i o n > < N a m e > A g g r e g a t i o n < / N a m e > < V a l u e > S u m < / V a l u e > < / A n n o t a t i o n > < / A n n o t a t i o n s > < C a l c u l a t i o n R e f e r e n c e > [ S u m   o f   A d u l t   C C   b e d s 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 P a e d   I n t   C a r e   A v a i l < / V a l u e > < / A n n o t a t i o n > < A n n o t a t i o n > < N a m e > A g g r e g a t i o n < / N a m e > < V a l u e > S u m < / V a l u e > < / A n n o t a t i o n > < / A n n o t a t i o n s > < C a l c u l a t i o n R e f e r e n c e > [ S u m   o f   P a e d 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 P a e d   I n t   C a r e   O c c < / V a l u e > < / A n n o t a t i o n > < A n n o t a t i o n > < N a m e > A g g r e g a t i o n < / N a m e > < V a l u e > S u m < / V a l u e > < / A n n o t a t i o n > < / A n n o t a t i o n s > < C a l c u l a t i o n R e f e r e n c e > [ S u m   o f   P a e d 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 A v a i l < / V a l u e > < / A n n o t a t i o n > < A n n o t a t i o n > < N a m e > A g g r e g a t i o n < / N a m e > < V a l u e > S u m < / V a l u e > < / A n n o t a t i o n > < / A n n o t a t i o n s > < C a l c u l a t i o n R e f e r e n c e > [ S u m   o f   N e o 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 o c c < / V a l u e > < / A n n o t a t i o n > < A n n o t a t i o n > < N a m e > A g g r e g a t i o n < / N a m e > < V a l u e > S u m < / V a l u e > < / A n n o t a t i o n > < / A n n o t a t i o n s > < C a l c u l a t i o n R e f e r e n c e > [ S u m   o f   N e o 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 A v a i l < / V a l u e > < / A n n o t a t i o n > < A n n o t a t i o n > < N a m e > A g g r e g a t i o n < / N a m e > < V a l u e > A v e r a g e < / V a l u e > < / A n n o t a t i o n > < / A n n o t a t i o n s > < C a l c u l a t i o n R e f e r e n c e > [ A v e r a g e   o f   N e o   I n t   C a r e   A v a i l ] < / 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 o c c < / V a l u e > < / A n n o t a t i o n > < A n n o t a t i o n > < N a m e > A g g r e g a t i o n < / N a m e > < V a l u e > A v e r a g e < / V a l u e > < / A n n o t a t i o n > < / A n n o t a t i o n s > < C a l c u l a t i o n R e f e r e n c e > [ A v e r a g e   o f   N e o   I n t   C a r e   o c c ] < / 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 b e d   o c c u p a n c y < / V a l u e > < / A n n o t a t i o n > < A n n o t a t i o n > < N a m e > A g g r e g a t i o n < / N a m e > < V a l u e > S u m < / V a l u e > < / A n n o t a t i o n > < / A n n o t a t i o n s > < C a l c u l a t i o n R e f e r e n c e > [ S u m   o f   G A   b e d   o c c u p a n c y ] < / 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 G A   b e d   o c c u p a n c y < / V a l u e > < / A n n o t a t i o n > < A n n o t a t i o n > < N a m e > A g g r e g a t i o n < / N a m e > < V a l u e > A v e r a g e < / V a l u e > < / A n n o t a t i o n > < / A n n o t a t i o n s > < C a l c u l a t i o n R e f e r e n c e > [ A v e r a g e   o f   G A   b e d   o c c u p a n c y ] < / 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 c o r e   b e d s   a v a i l < / V a l u e > < / A n n o t a t i o n > < A n n o t a t i o n > < N a m e > A g g r e g a t i o n < / N a m e > < V a l u e > S u m < / V a l u e > < / A n n o t a t i o n > < / A n n o t a t i o n s > < C a l c u l a t i o n R e f e r e n c e > [ S u m   o f   G A   c o r e 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 e s c a l a t i o n   b e d s   a v a i l < / V a l u e > < / A n n o t a t i o n > < A n n o t a t i o n > < N a m e > A g g r e g a t i o n < / N a m e > < V a l u e > S u m < / V a l u e > < / A n n o t a t i o n > < / A n n o t a t i o n s > < C a l c u l a t i o n R e f e r e n c e > [ S u m   o f   G A   e s c a l a t i o n 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 1 4   d a y s < / V a l u e > < / A n n o t a t i o n > < A n n o t a t i o n > < N a m e > A g g r e g a t i o n < / N a m e > < V a l u e > S u m < / V a l u e > < / A n n o t a t i o n > < / A n n o t a t i o n s > < C a l c u l a t i o n R e f e r e n c e > [ S u m   o f   B e d s   o c c   o v e r   1 4   d a y s ] 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 1 4   d a y s < / V a l u e > < / A n n o t a t i o n > < A n n o t a t i o n > < N a m e > A g g r e g a t i o n < / N a m e > < V a l u e > S u m < / V a l u e > < / A n n o t a t i o n > < / A n n o t a t i o n s > < C a l c u l a t i o n R e f e r e n c e > [ S u m   o f   B e d s   o c c   o v e r   1 4   d a y s   2 ] < / C a l c u l a t i o n R e f e r e n c e > < C a l c u l a t i o n T y p e > M e m b e r < / C a l c u l a t i o n T y p e > < 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 2 5 c f a f c b - a 9 8 0 - 4 1 4 2 - 8 7 8 c - 1 d a d 5 9 5 7 9 3 4 c < / I D > < N a m e > e - b a s e . n h s p r o v i d e r s . o r g < / N a m e > < A n n o t a t i o n s > < A n n o t a t i o n > < N a m e > C o n n e c t i o n E d i t U I S o u r c e < / N a m e > < V a l u e > S q l S e r v e r < / V a l u e > < / A n n o t a t i o n > < / A n n o t a t i o n s > < C o n n e c t i o n S t r i n g > P r o v i d e r = S Q L N C L I 1 0 ; D a t a   S o u r c e = e - b a s e . n h s p r o v i d e r s . o r g ; I n i t i a l   C a t a l o g = F T N ; U s e r   I D = k e h i n d e . o l a d i m e j i @ n h s p r o v i d e r s . o r g ; P e r s i s t   S e c u r i t y   I n f o = t r u e < / C o n n e c t i o n S t r i n g > < I m p e r s o n a t i o n I n f o > < I m p e r s o n a t i o n M o d e > I m p e r s o n a t e C u r r e n t U s e r < / I m p e r s o n a t i o n M o d e > < / I m p e r s o n a t i o n I n f o > < T i m e o u t > P T 0 S < / T i m e o u t > < / D a t a S o u r c e > < / D a t a S o u r c e s > < D a t a S o u r c e V i e w s > < D a t a S o u r c e V i e w > < I D > S a n d b o x < / I D > < N a m e > S a n d b o x < / N a m e > < D a t a S o u r c e I D > 2 5 c f a f c b - a 9 8 0 - 4 1 4 2 - 8 7 8 c - 1 d a d 5 9 5 7 9 3 4 c < / D a t a S o u r c e I D > < S c h e m a > < x s : s c h e m a   i d = " N e w D a t a S e t "   x m l n s = " "   x m l n s : x s = " h t t p : / / w w w . w 3 . o r g / 2 0 0 1 / X M L S c h e m a "   x m l n s : m s d a t a = " u r n : s c h e m a s - m i c r o s o f t - c o m : x m l - m s d a t a "   x m l n s : m s p r o p = " u r n : s c h e m a s - m i c r o s o f t - c o m : x m l - m s p r o p " > < x s : e l e m e n t   n a m e = " N e w D a t a S e t "   m s d a t a : I s D a t a S e t = " t r u e "   m s d a t a : L o c a l e = " e n - G B " > < x s : c o m p l e x T y p e > < x s : c h o i c e   m i n O c c u r s = " 0 "   m a x O c c u r s = " u n b o u n d e d " > < x s : e l e m e n t   n a m e = " W i n t e r _ x 0 0 2 0 _ d a i l y _ x 0 0 2 0 _ s i t r e p s _ 1 d f 8 1 2 b b - 9 f c 3 - 4 6 7 4 - 8 d 4 1 - 6 0 c 6 7 2 6 a 8 e f 3 "   m s d a t a : L o c a l e = " "   m s p r o p : I s L o g i c a l = " T r u e "   m s p r o p : F r i e n d l y N a m e = " W i n t e r   d a i l y   s i t r e p s "   m s p r o p : D b S c h e m a N a m e = " a d b "   m s p r o p : D b T a b l e N a m e = " W i n t e r   d a i l y   s i t r e p s "   m s p r o p : T a b l e T y p e = " V i e w "   m s p r o p : D e s c r i p t i o n = " W i n t e r   d a i l y   s i t r e p s "   m s p r o p : Q u e r y D e f i n i t i o n = "             S E L E C T   [ a d b ] . [ W i n t e r   d a i l y   s i t r e p s ] . *       F R O M   [ a d b ] . [ W i n t e r   d a i l y   s i t r e p s ]   " > < x s : c o m p l e x T y p e > < x s : s e q u e n c e > < x s : e l e m e n t   n a m e = " I D "   m s p r o p : D b C o l u m n N a m e = " I D "   m s p r o p : F r i e n d l y N a m e = " I D "   t y p e = " x s : l o n g "   / > < x s : e l e m e n t   n a m e = " c r i _ i d "   m s p r o p : D b C o l u m n N a m e = " c r i _ i d "   m s p r o p : F r i e n d l y N a m e = " c r i _ i d "   t y p e = " x s : l o n g "   m i n O c c u r s = " 0 "   / > < x s : e l e m e n t   n a m e = " d r _ i d "   m s p r o p : D b C o l u m n N a m e = " d r _ i d "   m s p r o p : F r i e n d l y N a m e = " d r _ i d "   t y p e = " x s : l o n g "   m i n O c c u r s = " 0 "   / > < x s : e l e m e n t   n a m e = " o r g _ i d "   m s p r o p : D b C o l u m n N a m e = " o r g _ i d "   m s p r o p : F r i e n d l y N a m e = " o r g _ i d "   t y p e = " x s : l o n g "   m i n O c c u r s = " 0 "   / > < x s : e l e m e n t   n a m e = " c r i _ d a t a p e r i o d s t a r t "   m s p r o p : D b C o l u m n N a m e = " c r i _ d a t a p e r i o d s t a r t "   m s p r o p : F r i e n d l y N a m e = " c r i _ d a t a p e r i o d s t a r t "   t y p e = " x s : d a t e T i m e "   m i n O c c u r s = " 0 "   / > < x s : e l e m e n t   n a m e = " C o d e "   m s p r o p : D b C o l u m n N a m e = " C o d e "   m s p r o p : F r i e n d l y N a m e = " C o d e "   m i n O c c u r s = " 0 " > < x s : s i m p l e T y p e > < x s : r e s t r i c t i o n   b a s e = " x s : s t r i n g " > < x s : m a x L e n g t h   v a l u e = " 1 3 1 0 7 2 "   / > < / x s : r e s t r i c t i o n > < / x s : s i m p l e T y p e > < / x s : e l e m e n t > < x s : e l e m e n t   n a m e = " N a m e "   m s p r o p : D b C o l u m n N a m e = " N a m e "   m s p r o p : F r i e n d l y N a m e = " N a m e "   m i n O c c u r s = " 0 " > < x s : s i m p l e T y p e > < x s : r e s t r i c t i o n   b a s e = " x s : s t r i n g " > < x s : m a x L e n g t h   v a l u e = " 1 3 1 0 7 2 "   / > < / x s : r e s t r i c t i o n > < / x s : s i m p l e T y p e > < / x s : e l e m e n t > < x s : e l e m e n t   n a m e = " D a t e "   m s p r o p : D b C o l u m n N a m e = " D a t e "   m s p r o p : F r i e n d l y N a m e = " D a t e "   m i n O c c u r s = " 0 " > < x s : s i m p l e T y p e > < x s : r e s t r i c t i o n   b a s e = " x s : s t r i n g " > < x s : m a x L e n g t h   v a l u e = " 1 3 1 0 7 2 "   / > < / x s : r e s t r i c t i o n > < / x s : s i m p l e T y p e > < / x s : e l e m e n t > < x s : e l e m e n t   n a m e = " W e e k "   m s p r o p : D b C o l u m n N a m e = " W e e k "   m s p r o p : F r i e n d l y N a m e = " W e e k "   t y p e = " x s : d o u b l e "   m i n O c c u r s = " 0 "   / > < x s : e l e m e n t   n a m e = " D a y "   m s p r o p : D b C o l u m n N a m e = " D a y "   m s p r o p : F r i e n d l y N a m e = " D a y "   m i n O c c u r s = " 0 " > < x s : s i m p l e T y p e > < x s : r e s t r i c t i o n   b a s e = " x s : s t r i n g " > < x s : m a x L e n g t h   v a l u e = " 1 3 1 0 7 2 "   / > < / x s : r e s t r i c t i o n > < / x s : s i m p l e T y p e > < / x s : e l e m e n t > < x s : e l e m e n t   n a m e = " B a n k _ x 0 0 2 0 _ h o l i d a y "   m s p r o p : D b C o l u m n N a m e = " B a n k   h o l i d a y "   m s p r o p : F r i e n d l y N a m e = " B a n k   h o l i d a y "   t y p e = " x s : d o u b l e "   m i n O c c u r s = " 0 "   / > < x s : e l e m e n t   n a m e = " A _ x 0 0 2 6 _ E _ x 0 0 2 0 _ c l o s u r e s "   m s p r o p : D b C o l u m n N a m e = " A & a m p ; E   c l o s u r e s "   m s p r o p : F r i e n d l y N a m e = " A E   c l o s u r e s "   t y p e = " x s : d o u b l e "   m i n O c c u r s = " 0 "   / > < x s : e l e m e n t   n a m e = " A _ x 0 0 2 6 _ E _ x 0 0 2 0 _ d i v e r t s "   m s p r o p : D b C o l u m n N a m e = " A & a m p ; E   d i v e r t s "   m s p r o p : F r i e n d l y N a m e = " A E   d i v e r t s "   t y p e = " x s : d o u b l e "   m i n O c c u r s = " 0 "   / > < x s : e l e m e n t   n a m e = " A _ x 0 0 2 6 _ E _ x 0 0 2 0 _ t y p e _ x 0 0 2 0 _ 1 _ x 0 0 2 0 _ a t t e n d a n c e s "   m s p r o p : D b C o l u m n N a m e = " A & a m p ; E   t y p e   1   a t t e n d a n c e s "   m s p r o p : F r i e n d l y N a m e = " A E   t y p e   1   a t t e n d a n c e s "   t y p e = " x s : d o u b l e "   m i n O c c u r s = " 0 "   / > < x s : e l e m e n t   n a m e = " A _ x 0 0 2 6 _ E _ x 0 0 2 0 _ t y p e _ x 0 0 2 0 _ 2 _ x 0 0 2 0 _ a t t e n d a n c e s "   m s p r o p : D b C o l u m n N a m e = " A & a m p ; E   t y p e   2   a t t e n d a n c e s "   m s p r o p : F r i e n d l y N a m e = " A E   t y p e   2   a t t e n d a n c e s "   t y p e = " x s : d o u b l e "   m i n O c c u r s = " 0 "   / > < x s : e l e m e n t   n a m e = " A _ x 0 0 2 6 _ E _ x 0 0 2 0 _ t y p e _ x 0 0 2 0 _ 3 _ x 0 0 2 0 _ a t t e n d a n c e s "   m s p r o p : D b C o l u m n N a m e = " A & a m p ; E   t y p e   3   a t t e n d a n c e s "   m s p r o p : F r i e n d l y N a m e = " A E   t y p e   3   a t t e n d a n c e s "   t y p e = " x s : d o u b l e "   m i n O c c u r s = " 0 "   / > < x s : e l e m e n t   n a m e = " A _ x 0 0 2 6 _ E _ x 0 0 2 0 _ t o t a l _ x 0 0 2 0 _ a t t e n d a n c e s "   m s p r o p : D b C o l u m n N a m e = " A & a m p ; E   t o t a l   a t t e n d a n c e s "   m s p r o p : F r i e n d l y N a m e = " A E   t o t a l   a t t e n d a n c e s "   t y p e = " x s : d o u b l e "   m i n O c c u r s = " 0 "   / > < x s : e l e m e n t   n a m e = " E m e r g e n c y _ x 0 0 2 0 _ a d m i s s i o n s "   m s p r o p : D b C o l u m n N a m e = " E m e r g e n c y   a d m i s s i o n s "   m s p r o p : F r i e n d l y N a m e = " E m e r g e n c y   a d m i s s i o n s "   t y p e = " x s : d o u b l e "   m i n O c c u r s = " 0 "   / > < x s : e l e m e n t   n a m e = " G _ x 0 0 2 6 _ A _ x 0 0 2 0 _ c o r e _ x 0 0 2 0 _ b e d s _ x 0 0 2 0 _ a v a i l "   m s p r o p : D b C o l u m n N a m e = " G & a m p ; A   c o r e   b e d s   a v a i l "   m s p r o p : F r i e n d l y N a m e = " G A   c o r e   b e d s   a v a i l "   t y p e = " x s : d o u b l e "   m i n O c c u r s = " 0 "   / > < x s : e l e m e n t   n a m e = " G _ x 0 0 2 6 _ A _ x 0 0 2 0 _ e s c a l a t i o n _ x 0 0 2 0 _ b e d s _ x 0 0 2 0 _ a v a i l "   m s p r o p : D b C o l u m n N a m e = " G & a m p ; A   e s c a l a t i o n   b e d s   a v a i l "   m s p r o p : F r i e n d l y N a m e = " G A   e s c a l a t i o n   b e d s   a v a i l "   t y p e = " x s : d o u b l e "   m i n O c c u r s = " 0 "   / > < x s : e l e m e n t   n a m e = " G _ x 0 0 2 6 _ A _ x 0 0 2 0 _ t o t a l _ x 0 0 2 0 _ b e d s _ x 0 0 2 0 _ a v a i l "   m s p r o p : D b C o l u m n N a m e = " G & a m p ; A   t o t a l   b e d s   a v a i l "   m s p r o p : F r i e n d l y N a m e = " G A   t o t a l   b e d s   a v a i l "   t y p e = " x s : d o u b l e "   m i n O c c u r s = " 0 "   / > < x s : e l e m e n t   n a m e = " G _ x 0 0 2 6 _ A _ x 0 0 2 0 _ t o t a l _ x 0 0 2 0 _ b e d s _ x 0 0 2 0 _ o c c u p i e d "   m s p r o p : D b C o l u m n N a m e = " G & a m p ; A   t o t a l   b e d s   o c c u p i e d "   m s p r o p : F r i e n d l y N a m e = " G A   t o t a l   b e d s   o c c u p i e d "   t y p e = " x s : d o u b l e "   m i n O c c u r s = " 0 "   / > < x s : e l e m e n t   n a m e = " B e d s _ x 0 0 2 0 _ c l o s e d _ x 0 0 2 0 _ n o r o v i r u s "   m s p r o p : D b C o l u m n N a m e = " B e d s   c l o s e d   n o r o v i r u s "   m s p r o p : F r i e n d l y N a m e = " B e d s   c l o s e d   n o r o v i r u s "   t y p e = " x s : d o u b l e "   m i n O c c u r s = " 0 "   / > < x s : e l e m e n t   n a m e = " B e d s _ x 0 0 2 0 _ c l o s e d _ x 0 0 2 0 _ n o r o v i u s _ x 0 0 2 0 _ u n o c c "   m s p r o p : D b C o l u m n N a m e = " B e d s   c l o s e d   n o r o v i u s   u n o c c "   m s p r o p : F r i e n d l y N a m e = " B e d s   c l o s e d   n o r o v i u s   u n o c c "   t y p e = " x s : d o u b l e "   m i n O c c u r s = " 0 "   / > < x s : e l e m e n t   n a m e = " A d u l t _ x 0 0 2 0 _ C C _ x 0 0 2 0 _ b e d s _ x 0 0 2 0 _ a v a i l "   m s p r o p : D b C o l u m n N a m e = " A d u l t   C C   b e d s   a v a i l "   m s p r o p : F r i e n d l y N a m e = " A d u l t   C C   b e d s   a v a i l "   t y p e = " x s : d o u b l e "   m i n O c c u r s = " 0 "   / > < x s : e l e m e n t   n a m e = " A d u l t _ x 0 0 2 0 _ C C _ x 0 0 2 0 _ b e d s _ x 0 0 2 0 _ o c c "   m s p r o p : D b C o l u m n N a m e = " A d u l t   C C   b e d s   o c c "   m s p r o p : F r i e n d l y N a m e = " A d u l t   C C   b e d s   o c c "   t y p e = " x s : d o u b l e "   m i n O c c u r s = " 0 "   / > < x s : e l e m e n t   n a m e = " P a e d _ x 0 0 2 0 _ I n t _ x 0 0 2 0 _ C a r e _ x 0 0 2 0 _ A v a i l "   m s p r o p : D b C o l u m n N a m e = " P a e d   I n t   C a r e   A v a i l "   m s p r o p : F r i e n d l y N a m e = " P a e d   I n t   C a r e   A v a i l "   t y p e = " x s : d o u b l e "   m i n O c c u r s = " 0 "   / > < x s : e l e m e n t   n a m e = " P a e d _ x 0 0 2 0 _ I n t _ x 0 0 2 0 _ C a r e _ x 0 0 2 0 _ O c c "   m s p r o p : D b C o l u m n N a m e = " P a e d   I n t   C a r e   O c c "   m s p r o p : F r i e n d l y N a m e = " P a e d   I n t   C a r e   O c c "   t y p e = " x s : d o u b l e "   m i n O c c u r s = " 0 "   / > < x s : e l e m e n t   n a m e = " N e o _ x 0 0 2 0 _ I n t _ x 0 0 2 0 _ C a r e _ x 0 0 2 0 _ A v a i l "   m s p r o p : D b C o l u m n N a m e = " N e o   I n t   C a r e   A v a i l "   m s p r o p : F r i e n d l y N a m e = " N e o   I n t   C a r e   A v a i l "   t y p e = " x s : d o u b l e "   m i n O c c u r s = " 0 "   / > < x s : e l e m e n t   n a m e = " N e o _ x 0 0 2 0 _ I n t _ x 0 0 2 0 _ C a r e _ x 0 0 2 0 _ o c c "   m s p r o p : D b C o l u m n N a m e = " N e o   I n t   C a r e   o c c "   m s p r o p : F r i e n d l y N a m e = " N e o   I n t   C a r e   o c c "   t y p e = " x s : d o u b l e "   m i n O c c u r s = " 0 "   / > < x s : e l e m e n t   n a m e = " O P E L _ x 0 0 2 0 _ 3 _ x 0 0 2 0 _ o r _ x 0 0 2 0 _ a b o v e "   m s p r o p : D b C o l u m n N a m e = " O P E L   3   o r   a b o v e "   m s p r o p : F r i e n d l y N a m e = " O P E L   3   o r   a b o v e "   t y p e = " x s : d o u b l e "   m i n O c c u r s = " 0 "   / > < x s : e l e m e n t   n a m e = " W e e k e n d "   m s p r o p : D b C o l u m n N a m e = " W e e k e n d "   m s p r o p : F r i e n d l y N a m e = " W e e k e n d "   t y p e = " x s : d o u b l e "   m i n O c c u r s = " 0 "   / > < x s : e l e m e n t   n a m e = " R e g i o n "   m s p r o p : D b C o l u m n N a m e = " R e g i o n "   m s p r o p : F r i e n d l y N a m e = " R e g i o n "   m i n O c c u r s = " 0 " > < x s : s i m p l e T y p e > < x s : r e s t r i c t i o n   b a s e = " x s : s t r i n g " > < x s : m a x L e n g t h   v a l u e = " 1 3 1 0 7 2 "   / > < / x s : r e s t r i c t i o n > < / x s : s i m p l e T y p e > < / x s : e l e m e n t > < x s : e l e m e n t   n a m e = " Y e a r "   m s p r o p : D b C o l u m n N a m e = " Y e a r "   m s p r o p : F r i e n d l y N a m e = " Y e a r "   m i n O c c u r s = " 0 " > < x s : s i m p l e T y p e > < x s : r e s t r i c t i o n   b a s e = " x s : s t r i n g " > < x s : m a x L e n g t h   v a l u e = " 1 3 1 0 7 2 "   / > < / x s : r e s t r i c t i o n > < / x s : s i m p l e T y p e > < / x s : e l e m e n t > < x s : e l e m e n t   n a m e = " B e d s _ x 0 0 2 0 _ o c c _ x 0 0 2 0 _ o v e r _ x 0 0 2 0 _ 7 _ x 0 0 2 0 _ d a y s "   m s p r o p : D b C o l u m n N a m e = " B e d s   o c c   o v e r   7   d a y s "   m s p r o p : F r i e n d l y N a m e = " B e d s   o c c   o v e r   7   d a y s "   t y p e = " x s : d o u b l e "   m i n O c c u r s = " 0 "   / > < x s : e l e m e n t   n a m e = " B e d s _ x 0 0 2 0 _ o c c _ x 0 0 2 0 _ o v e r _ x 0 0 2 0 _ 2 1 _ x 0 0 2 0 _ d a y s "   m s p r o p : D b C o l u m n N a m e = " B e d s   o c c   o v e r   2 1   d a y s "   m s p r o p : F r i e n d l y N a m e = " B e d s   o c c   o v e r   2 1   d a y s "   t y p e = " x s : d o u b l e "   m i n O c c u r s = " 0 "   / > < x s : e l e m e n t   n a m e = " A m b _ x 0 0 2 0 _ a r r i v a l s "   m s p r o p : D b C o l u m n N a m e = " A m b   a r r i v a l s "   m s p r o p : F r i e n d l y N a m e = " A m b   a r r i v a l s "   t y p e = " x s : d o u b l e "   m i n O c c u r s = " 0 "   / > < x s : e l e m e n t   n a m e = " A m b _ x 0 0 2 0 _ d e l a y s _ x 0 0 2 0 _ 3 0 - 6 0 _ x 0 0 2 0 _ m i n s "   m s p r o p : D b C o l u m n N a m e = " A m b   d e l a y s   3 0 - 6 0   m i n s "   m s p r o p : F r i e n d l y N a m e = " A m b   d e l a y s   3 0 - 6 0   m i n s "   t y p e = " x s : d o u b l e "   m i n O c c u r s = " 0 "   / > < x s : e l e m e n t   n a m e = " A m b _ x 0 0 2 0 _ d e l a y s _ x 0 0 2 0 _ o v e r _ x 0 0 2 0 _ 6 0 _ x 0 0 2 0 _ m i n s "   m s p r o p : D b C o l u m n N a m e = " A m b   d e l a y s   o v e r   6 0   m i n s "   m s p r o p : F r i e n d l y N a m e = " A m b   d e l a y s   o v e r   6 0   m i n s "   t y p e = " x s : d o u b l e "   m i n O c c u r s = " 0 "   / > < x s : e l e m e n t   n a m e = " B e d s _ x 0 0 2 0 _ o c c _ x 0 0 2 0 _ o v e r _ x 0 0 2 0 _ 1 4 _ x 0 0 2 0 _ d a y s "   m s p r o p : F r i e n d l y N a m e = " B e d s   o c c   o v e r   1 4   d a y s "   t y p e = " x s : d o u b l e "   m i n O c c u r s = " 0 "   / > < / x s : s e q u e n c e > < / x s : c o m p l e x T y p e > < / x s : e l e m e n t > < / x s : c h o i c e > < / x s : c o m p l e x T y p e > < x s : u n i q u e   n a m e = " C o n s t r a i n t 1 "   m s d a t a : P r i m a r y K e y = " t r u e " > < x s : s e l e c t o r   x p a t h = " . / / W i n t e r _ x 0 0 2 0 _ d a i l y _ x 0 0 2 0 _ s i t r e p s _ 1 d f 8 1 2 b b - 9 f c 3 - 4 6 7 4 - 8 d 4 1 - 6 0 c 6 7 2 6 a 8 e f 3 "   / > < x s : f i e l d   x p a t h = " I D "   / > < / x s : u n i q u e > < / x s : e l e m e n t > < / x s : s c h e m a > < N e w D a t a S e t   x m l n s = " "   / > < / S c h e m a > < / D a t a S o u r c e V i e w > < / D a t a S o u r c e V i e w s > < / D a t a b a s e > < / O b j e c t D e f i n i t i o n > < / C r e a t e > ] ] > < / C u s t o m C o n t e n t > < / G e m i n i > 
</file>

<file path=customXml/item6.xml>��< ? x m l   v e r s i o n = " 1 . 0 "   e n c o d i n g = " U T F - 1 6 " ? > < G e m i n i   x m l n s = " h t t p : / / g e m i n i / p i v o t c u s t o m i z a t i o n / e c b 0 1 0 0 6 - d 7 7 8 - 4 5 2 3 - b b 6 1 - 3 a 8 5 7 6 3 8 a 5 d f " > < C u s t o m C o n t e n t > < ! [ C D A T A [ < ? x m l   v e r s i o n = " 1 . 0 "   e n c o d i n g = " u t f - 1 6 " ? > < S e t t i n g s > < C a l c u l a t e d F i e l d s > < i t e m > < M e a s u r e N a m e > S u m   o f   B e d s   o c c   o v e r   2 1   d a y s < / M e a s u r e N a m e > < D i s p l a y N a m e > S u m   o f   B e d s   o c c   o v e r   2 1   d a y s < / D i s p l a y N a m e > < V i s i b l e > T r u e < / V i s i b l e > < / i t e m > < / C a l c u l a t e d F i e l d s > < H S l i c e r s S h a p e > 0 ; 0 ; 0 ; 0 < / H S l i c e r s S h a p e > < V S l i c e r s S h a p e > 0 ; 0 ; 0 ; 0 < / V S l i c e r s S h a p e > < S l i c e r S h e e t N a m e > G & a m p ; A   b e d   o c c . < / S l i c e r S h e e t N a m e > < S A H o s t H a s h > 4 4 3 1 6 5 1 6 8 < / S A H o s t H a s h > < G e m i n i F i e l d L i s t V i s i b l e > F a l s e < / G e m i n i F i e l d L i s t V i s i b l e > < / S e t t i n g s > ] ] > < / C u s t o m C o n t e n t > < / G e m i n i > 
</file>

<file path=customXml/item60.xml>��< ? x m l   v e r s i o n = " 1 . 0 "   e n c o d i n g = " U T F - 1 6 " ? > < G e m i n i   x m l n s = " h t t p : / / g e m i n i / p i v o t c u s t o m i z a t i o n / f 6 e 7 f 0 b 5 - 4 e d 5 - 4 f b a - b a c 3 - 7 0 9 7 d 7 9 e 8 5 4 c " > < 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 8 6 2 3 2 1 2 0 5 < / S A H o s t H a s h > < G e m i n i F i e l d L i s t V i s i b l e > T r u e < / G e m i n i F i e l d L i s t V i s i b l e > < / S e t t i n g s > ] ] > < / C u s t o m C o n t e n t > < / G e m i n i > 
</file>

<file path=customXml/item61.xml>��< ? x m l   v e r s i o n = " 1 . 0 "   e n c o d i n g = " U T F - 1 6 " ? > < G e m i n i   x m l n s = " h t t p : / / g e m i n i / p i v o t c u s t o m i z a t i o n / 5 b 1 1 5 f 7 2 - c b 9 1 - 4 2 b 2 - 9 a 3 1 - 5 2 d 9 5 5 8 f 7 5 f 3 " > < C u s t o m C o n t e n t > < ! [ C D A T A [ < ? x m l   v e r s i o n = " 1 . 0 "   e n c o d i n g = " u t f - 1 6 " ? > < S e t t i n g s > < H S l i c e r s S h a p e > 0 ; 0 ; 0 ; 0 < / H S l i c e r s S h a p e > < V S l i c e r s S h a p e > 0 ; 0 ; 0 ; 0 < / V S l i c e r s S h a p e > < S l i c e r S h e e t N a m e > G & a m p ; A   b e d s < / S l i c e r S h e e t N a m e > < S A H o s t H a s h > 6 7 9 0 1 9 0 8 2 < / S A H o s t H a s h > < G e m i n i F i e l d L i s t V i s i b l e > T r u e < / G e m i n i F i e l d L i s t V i s i b l e > < / S e t t i n g s > ] ] > < / C u s t o m C o n t e n t > < / G e m i n i > 
</file>

<file path=customXml/item62.xml>��< ? x m l   v e r s i o n = " 1 . 0 "   e n c o d i n g = " U T F - 1 6 " ? > < G e m i n i   x m l n s = " h t t p : / / g e m i n i / p i v o t c u s t o m i z a t i o n / L i n k e d T a b l e U p d a t e M o d e " > < C u s t o m C o n t e n t > < ! [ C D A T A [ T r u e ] ] > < / C u s t o m C o n t e n t > < / G e m i n i > 
</file>

<file path=customXml/item63.xml>��< ? x m l   v e r s i o n = " 1 . 0 "   e n c o d i n g = " U T F - 1 6 " ? > < G e m i n i   x m l n s = " h t t p : / / g e m i n i / p i v o t c u s t o m i z a t i o n / 6 1 a c 6 1 5 e - 4 0 0 2 - 4 6 a 2 - a f d 6 - 5 6 0 1 e 0 5 c 1 0 5 7 " > < 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 1 3 6 4 0 5 8 0 6 < / S A H o s t H a s h > < G e m i n i F i e l d L i s t V i s i b l e > T r u e < / G e m i n i F i e l d L i s t V i s i b l e > < / S e t t i n g s > ] ] > < / C u s t o m C o n t e n t > < / G e m i n i > 
</file>

<file path=customXml/item64.xml>��< ? x m l   v e r s i o n = " 1 . 0 "   e n c o d i n g = " U T F - 1 6 " ? > < G e m i n i   x m l n s = " h t t p : / / g e m i n i / p i v o t c u s t o m i z a t i o n / a 3 5 2 a a 7 b - 4 6 c 6 - 4 6 3 0 - a 5 0 5 - e 6 5 d d 9 6 5 d 2 5 a " > < 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 4 4 3 1 6 5 1 6 8 < / S A H o s t H a s h > < G e m i n i F i e l d L i s t V i s i b l e > F a l s e < / G e m i n i F i e l d L i s t V i s i b l e > < / S e t t i n g s > ] ] > < / C u s t o m C o n t e n t > < / G e m i n i > 
</file>

<file path=customXml/item65.xml>��< ? x m l   v e r s i o n = " 1 . 0 "   e n c o d i n g = " U T F - 1 6 " ? > < G e m i n i   x m l n s = " h t t p : / / g e m i n i / w o r k b o o k c u s t o m i z a t i o n / P o w e r P i v o t V e r s i o n " > < C u s t o m C o n t e n t > < ! [ C D A T A [ 1 1 . 0 . 3 0 0 0 . 0 ] ] > < / C u s t o m C o n t e n t > < / G e m i n i > 
</file>

<file path=customXml/item66.xml>��< ? x m l   v e r s i o n = " 1 . 0 "   e n c o d i n g = " U T F - 1 6 " ? > < G e m i n i   x m l n s = " h t t p : / / g e m i n i / p i v o t c u s t o m i z a t i o n / P r e v i o u s D i a g r a m " > < C u s t o m C o n t e n t > & l t ; S a n d b o x E d i t o r D i a g r a m K e y   i : n i l = " t r u e "   x m l n s = " h t t p : / / s c h e m a s . d a t a c o n t r a c t . o r g / 2 0 0 4 / 0 7 / M i c r o s o f t . A n a l y s i s S e r v i c e s . C o m m o n "   x m l n s : i = " h t t p : / / w w w . w 3 . o r g / 2 0 0 1 / X M L S c h e m a - i n s t a n c e " / & g t ; < / C u s t o m C o n t e n t > < / G e m i n i > 
</file>

<file path=customXml/item67.xml>��< ? x m l   v e r s i o n = " 1 . 0 "   e n c o d i n g = " U T F - 1 6 " ? > < G e m i n i   x m l n s = " h t t p : / / g e m i n i / p i v o t c u s t o m i z a t i o n / b 9 5 7 5 0 1 2 - 0 5 e f - 4 6 3 2 - b e d e - b 8 7 d 0 5 a 4 d 4 8 9 " > < 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 1 3 6 4 0 5 8 0 6 < / S A H o s t H a s h > < G e m i n i F i e l d L i s t V i s i b l e > F a l s e < / G e m i n i F i e l d L i s t V i s i b l e > < / S e t t i n g s > ] ] > < / C u s t o m C o n t e n t > < / G e m i n i > 
</file>

<file path=customXml/item68.xml>��< ? x m l   v e r s i o n = " 1 . 0 "   e n c o d i n g = " U T F - 1 6 " ? > < G e m i n i   x m l n s = " h t t p : / / g e m i n i / p i v o t c u s t o m i z a t i o n / 4 c 2 2 a 1 4 f - 6 2 e f - 4 5 5 b - 9 7 2 d - 9 1 4 7 2 9 2 2 3 0 5 8 " > < 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 1 8 9 6 1 1 5 6 5 9 < / S A H o s t H a s h > < G e m i n i F i e l d L i s t V i s i b l e > T r u e < / G e m i n i F i e l d L i s t V i s i b l e > < / S e t t i n g s > ] ] > < / C u s t o m C o n t e n t > < / G e m i n i > 
</file>

<file path=customXml/item69.xml>��< ? x m l   v e r s i o n = " 1 . 0 "   e n c o d i n g = " U T F - 1 6 " ? > < G e m i n i   x m l n s = " h t t p : / / g e m i n i / p i v o t c u s t o m i z a t i o n / 6 8 c e 7 b b 5 - b 9 a 1 - 4 6 1 8 - b 6 f 2 - 2 5 0 7 f 2 2 3 e 5 3 3 " > < C u s t o m C o n t e n t > < ! [ C D A T A [ < ? x m l   v e r s i o n = " 1 . 0 "   e n c o d i n g = " u t f - 1 6 " ? > < S e t t i n g s > < C a l c u l a t e d F i e l d s > < i t e m > < M e a s u r e N a m e > S u m   o f   B e d s   o c c   o v e r   7   d a y s < / M e a s u r e N a m e > < D i s p l a y N a m e > S u m   o f   B e d s   o c c   o v e r   7   d a y s < / D i s p l a y N a m e > < V i s i b l e > T r u e < / V i s i b l e > < / i t e m > < / C a l c u l a t e d F i e l d s > < H S l i c e r s S h a p e > 0 ; 0 ; 0 ; 0 < / H S l i c e r s S h a p e > < V S l i c e r s S h a p e > 0 ; 0 ; 0 ; 0 < / V S l i c e r s S h a p e > < S l i c e r S h e e t N a m e > L o n g   s t a y < / S l i c e r S h e e t N a m e > < S A H o s t H a s h > 8 6 2 3 2 1 2 0 5 < / S A H o s t H a s h > < G e m i n i F i e l d L i s t V i s i b l e > F a l s e < / G e m i n i F i e l d L i s t V i s i b l e > < / S e t t i n g s > ] ] > < / C u s t o m C o n t e n t > < / G e m i n i > 
</file>

<file path=customXml/item7.xml>��< ? x m l   v e r s i o n = " 1 . 0 "   e n c o d i n g = " U T F - 1 6 " ? > < G e m i n i   x m l n s = " h t t p : / / g e m i n i / p i v o t c u s t o m i z a t i o n / d d 0 9 8 1 d d - 8 6 3 9 - 4 5 a e - b 5 0 1 - a 4 9 7 8 9 7 f 6 7 6 e " > < 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 5 5 5 5 6 1 8 4 3 < / S A H o s t H a s h > < G e m i n i F i e l d L i s t V i s i b l e > T r u e < / G e m i n i F i e l d L i s t V i s i b l e > < / S e t t i n g s > ] ] > < / C u s t o m C o n t e n t > < / G e m i n i > 
</file>

<file path=customXml/item70.xml>��< ? x m l   v e r s i o n = " 1 . 0 "   e n c o d i n g = " U T F - 1 6 " ? > < G e m i n i   x m l n s = " h t t p : / / g e m i n i / p i v o t c u s t o m i z a t i o n / b 0 e f 4 d f 9 - 2 9 8 0 - 4 2 7 c - 9 2 7 7 - 0 9 e 1 9 a 1 b f 0 e 0 " > < 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 1 7 4 5 2 4 5 8 0 8 < / S A H o s t H a s h > < G e m i n i F i e l d L i s t V i s i b l e > T r u e < / G e m i n i F i e l d L i s t V i s i b l e > < / S e t t i n g s > ] ] > < / C u s t o m C o n t e n t > < / G e m i n i > 
</file>

<file path=customXml/item71.xml>��< ? x m l   v e r s i o n = " 1 . 0 "   e n c o d i n g = " U T F - 1 6 " ? > < G e m i n i   x m l n s = " h t t p : / / g e m i n i / p i v o t c u s t o m i z a t i o n / b a 0 b 1 b 6 b - 2 5 3 c - 4 a f 3 - 8 d a 1 - 4 0 f 0 3 6 5 4 e 8 8 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 1 7 4 5 2 4 5 8 0 8 < / S A H o s t H a s h > < G e m i n i F i e l d L i s t V i s i b l e > F a l s e < / G e m i n i F i e l d L i s t V i s i b l e > < / S e t t i n g s > ] ] > < / C u s t o m C o n t e n t > < / G e m i n i > 
</file>

<file path=customXml/item72.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 2 0 2 0 - 0 3 - 0 5 T 1 2 : 2 3 : 0 6 . 7 9 7 1 9 6 + 0 0 : 0 0 < / L a s t P r o c e s s e d T i m e > < / D a t a M o d e l i n g S a n d b o x . S e r i a l i z e d S a n d b o x E r r o r C a c h e > ] ] > < / C u s t o m C o n t e n t > < / G e m i n i > 
</file>

<file path=customXml/item73.xml>��< ? x m l   v e r s i o n = " 1 . 0 "   e n c o d i n g = " U T F - 1 6 " ? > < G e m i n i   x m l n s = " h t t p : / / g e m i n i / p i v o t c u s t o m i z a t i o n / c 1 f 4 5 b 2 7 - 5 3 7 7 - 4 b 8 5 - a 5 c c - 8 3 4 7 f 8 1 f 5 2 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 7 4 9 9 2 4 5 3 0 < / S A H o s t H a s h > < G e m i n i F i e l d L i s t V i s i b l e > F a l s e < / G e m i n i F i e l d L i s t V i s i b l e > < / S e t t i n g s > ] ] > < / C u s t o m C o n t e n t > < / G e m i n i > 
</file>

<file path=customXml/item74.xml>��< ? x m l   v e r s i o n = " 1 . 0 "   e n c o d i n g = " U T F - 1 6 " ? > < G e m i n i   x m l n s = " h t t p : / / g e m i n i / p i v o t c u s t o m i z a t i o n / e a f 9 b 4 0 0 - a 2 b d - 4 3 d 0 - 8 b a 9 - 4 b d 3 d 8 b 1 e 3 c 8 " > < C u s t o m C o n t e n t > < ! [ C D A T A [ < ? x m l   v e r s i o n = " 1 . 0 "   e n c o d i n g = " u t f - 1 6 " ? > < S e t t i n g s > < C a l c u l a t e d F i e l d s > < i t e m > < M e a s u r e N a m e > S u m   o f   A m b   d e l a y s   3 0 - 6 0   m i n s < / M e a s u r e N a m e > < D i s p l a y N a m e > 3 0 - 6 0   m i n s < / D i s p l a y N a m e > < V i s i b l e > T r u e < / V i s i b l e > < / i t e m > < i t e m > < M e a s u r e N a m e > S u m   o f   A m b   d e l a y s   o v e r   6 0   m i n s < / M e a s u r e N a m e > < D i s p l a y N a m e > o v e r   6 0   m i n s < / D i s p l a y N a m e > < V i s i b l e > T r u e < / V i s i b l e > < / i t e m > < i t e m > < M e a s u r e N a m e > S u m   o f   A m b   a r r i v a l s < / M e a s u r e N a m e > < D i s p l a y N a m e > S u m   o f   A m b   a r r i v a l s < / D i s p l a y N a m e > < V i s i b l e > T r u e < / V i s i b l e > < / i t e m > < / C a l c u l a t e d F i e l d s > < H S l i c e r s S h a p e > 0 ; 0 ; 0 ; 0 < / H S l i c e r s S h a p e > < V S l i c e r s S h a p e > 0 ; 0 ; 0 ; 0 < / V S l i c e r s S h a p e > < S l i c e r S h e e t N a m e > A m b u l a n c e < / S l i c e r S h e e t N a m e > < S A H o s t H a s h > 1 6 2 5 7 5 8 2 0 0 < / S A H o s t H a s h > < G e m i n i F i e l d L i s t V i s i b l e > F a l s e < / G e m i n i F i e l d L i s t V i s i b l e > < / S e t t i n g s > ] ] > < / C u s t o m C o n t e n t > < / G e m i n i > 
</file>

<file path=customXml/item8.xml>��< ? x m l   v e r s i o n = " 1 . 0 "   e n c o d i n g = " U T F - 1 6 " ? > < G e m i n i   x m l n s = " h t t p : / / g e m i n i / p i v o t c u s t o m i z a t i o n / 2 d 9 d 5 7 d 6 - 2 4 1 a - 4 b 7 d - 8 0 0 7 - 2 3 7 5 6 d b f 9 3 5 4 " > < 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 8 6 2 3 2 1 2 0 5 < / S A H o s t H a s h > < G e m i n i F i e l d L i s t V i s i b l e > F a l s e < / G e m i n i F i e l d L i s t V i s i b l e > < / S e t t i n g s > ] ] > < / 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DBF36359-22C8-4604-9928-2EF808425E2B}">
  <ds:schemaRefs/>
</ds:datastoreItem>
</file>

<file path=customXml/itemProps10.xml><?xml version="1.0" encoding="utf-8"?>
<ds:datastoreItem xmlns:ds="http://schemas.openxmlformats.org/officeDocument/2006/customXml" ds:itemID="{DDA0A74F-3FDB-40A0-84D6-3BF87E3A3E5F}">
  <ds:schemaRefs/>
</ds:datastoreItem>
</file>

<file path=customXml/itemProps11.xml><?xml version="1.0" encoding="utf-8"?>
<ds:datastoreItem xmlns:ds="http://schemas.openxmlformats.org/officeDocument/2006/customXml" ds:itemID="{0A422D31-6733-48D5-8B52-346BF9617420}">
  <ds:schemaRefs/>
</ds:datastoreItem>
</file>

<file path=customXml/itemProps12.xml><?xml version="1.0" encoding="utf-8"?>
<ds:datastoreItem xmlns:ds="http://schemas.openxmlformats.org/officeDocument/2006/customXml" ds:itemID="{073610DA-C952-4222-8123-395FDBAF62C0}">
  <ds:schemaRefs/>
</ds:datastoreItem>
</file>

<file path=customXml/itemProps13.xml><?xml version="1.0" encoding="utf-8"?>
<ds:datastoreItem xmlns:ds="http://schemas.openxmlformats.org/officeDocument/2006/customXml" ds:itemID="{0515C16A-745A-4228-9CF8-DD043B0528FE}">
  <ds:schemaRefs/>
</ds:datastoreItem>
</file>

<file path=customXml/itemProps14.xml><?xml version="1.0" encoding="utf-8"?>
<ds:datastoreItem xmlns:ds="http://schemas.openxmlformats.org/officeDocument/2006/customXml" ds:itemID="{62890C26-2FB4-4940-A2C5-7DD222D995FE}">
  <ds:schemaRefs/>
</ds:datastoreItem>
</file>

<file path=customXml/itemProps15.xml><?xml version="1.0" encoding="utf-8"?>
<ds:datastoreItem xmlns:ds="http://schemas.openxmlformats.org/officeDocument/2006/customXml" ds:itemID="{E995AB3D-7D22-40B6-B4BA-21BCFFD8566B}">
  <ds:schemaRefs/>
</ds:datastoreItem>
</file>

<file path=customXml/itemProps16.xml><?xml version="1.0" encoding="utf-8"?>
<ds:datastoreItem xmlns:ds="http://schemas.openxmlformats.org/officeDocument/2006/customXml" ds:itemID="{59FBDDC5-50D9-40F9-AF4E-D9AA0362860A}">
  <ds:schemaRefs/>
</ds:datastoreItem>
</file>

<file path=customXml/itemProps17.xml><?xml version="1.0" encoding="utf-8"?>
<ds:datastoreItem xmlns:ds="http://schemas.openxmlformats.org/officeDocument/2006/customXml" ds:itemID="{F37FEFA8-22AC-4600-B4A1-32AFA022C1D3}">
  <ds:schemaRefs/>
</ds:datastoreItem>
</file>

<file path=customXml/itemProps18.xml><?xml version="1.0" encoding="utf-8"?>
<ds:datastoreItem xmlns:ds="http://schemas.openxmlformats.org/officeDocument/2006/customXml" ds:itemID="{5112C57F-2B7C-49EE-8618-E1748FC80429}">
  <ds:schemaRefs/>
</ds:datastoreItem>
</file>

<file path=customXml/itemProps19.xml><?xml version="1.0" encoding="utf-8"?>
<ds:datastoreItem xmlns:ds="http://schemas.openxmlformats.org/officeDocument/2006/customXml" ds:itemID="{F0A8CA19-AD26-411B-8BB3-B75487F078A5}">
  <ds:schemaRefs/>
</ds:datastoreItem>
</file>

<file path=customXml/itemProps2.xml><?xml version="1.0" encoding="utf-8"?>
<ds:datastoreItem xmlns:ds="http://schemas.openxmlformats.org/officeDocument/2006/customXml" ds:itemID="{1CBBE10F-24BA-40AE-9FB1-71520559F77D}">
  <ds:schemaRefs/>
</ds:datastoreItem>
</file>

<file path=customXml/itemProps20.xml><?xml version="1.0" encoding="utf-8"?>
<ds:datastoreItem xmlns:ds="http://schemas.openxmlformats.org/officeDocument/2006/customXml" ds:itemID="{6379C2C1-D136-44AA-869B-0E59851CE42B}">
  <ds:schemaRefs/>
</ds:datastoreItem>
</file>

<file path=customXml/itemProps21.xml><?xml version="1.0" encoding="utf-8"?>
<ds:datastoreItem xmlns:ds="http://schemas.openxmlformats.org/officeDocument/2006/customXml" ds:itemID="{A1D259D3-1480-4DD1-B5D9-19847D5426C2}">
  <ds:schemaRefs/>
</ds:datastoreItem>
</file>

<file path=customXml/itemProps22.xml><?xml version="1.0" encoding="utf-8"?>
<ds:datastoreItem xmlns:ds="http://schemas.openxmlformats.org/officeDocument/2006/customXml" ds:itemID="{D22F9E64-BE1C-43B6-86F0-372EDB78D84D}">
  <ds:schemaRefs/>
</ds:datastoreItem>
</file>

<file path=customXml/itemProps23.xml><?xml version="1.0" encoding="utf-8"?>
<ds:datastoreItem xmlns:ds="http://schemas.openxmlformats.org/officeDocument/2006/customXml" ds:itemID="{409BC74C-CB71-4414-84E0-5BF782C17E9C}">
  <ds:schemaRefs/>
</ds:datastoreItem>
</file>

<file path=customXml/itemProps24.xml><?xml version="1.0" encoding="utf-8"?>
<ds:datastoreItem xmlns:ds="http://schemas.openxmlformats.org/officeDocument/2006/customXml" ds:itemID="{2D23186E-08DB-42BA-865C-738BDCBDF72F}">
  <ds:schemaRefs/>
</ds:datastoreItem>
</file>

<file path=customXml/itemProps25.xml><?xml version="1.0" encoding="utf-8"?>
<ds:datastoreItem xmlns:ds="http://schemas.openxmlformats.org/officeDocument/2006/customXml" ds:itemID="{5B0600DD-A233-469F-9EC1-11553F0EA057}">
  <ds:schemaRefs/>
</ds:datastoreItem>
</file>

<file path=customXml/itemProps26.xml><?xml version="1.0" encoding="utf-8"?>
<ds:datastoreItem xmlns:ds="http://schemas.openxmlformats.org/officeDocument/2006/customXml" ds:itemID="{88092EC8-170F-4AFC-9276-62D75E374037}">
  <ds:schemaRefs/>
</ds:datastoreItem>
</file>

<file path=customXml/itemProps27.xml><?xml version="1.0" encoding="utf-8"?>
<ds:datastoreItem xmlns:ds="http://schemas.openxmlformats.org/officeDocument/2006/customXml" ds:itemID="{F21123A4-7EFD-48BB-84A0-A2828E05054B}">
  <ds:schemaRefs/>
</ds:datastoreItem>
</file>

<file path=customXml/itemProps28.xml><?xml version="1.0" encoding="utf-8"?>
<ds:datastoreItem xmlns:ds="http://schemas.openxmlformats.org/officeDocument/2006/customXml" ds:itemID="{802F2161-0C8B-4366-82FF-780930BE5618}">
  <ds:schemaRefs/>
</ds:datastoreItem>
</file>

<file path=customXml/itemProps29.xml><?xml version="1.0" encoding="utf-8"?>
<ds:datastoreItem xmlns:ds="http://schemas.openxmlformats.org/officeDocument/2006/customXml" ds:itemID="{55254D38-8B39-45E0-B914-15D5E88B2FC7}">
  <ds:schemaRefs/>
</ds:datastoreItem>
</file>

<file path=customXml/itemProps3.xml><?xml version="1.0" encoding="utf-8"?>
<ds:datastoreItem xmlns:ds="http://schemas.openxmlformats.org/officeDocument/2006/customXml" ds:itemID="{F541C5FF-6EFB-405B-802F-58C18BF20A51}">
  <ds:schemaRefs/>
</ds:datastoreItem>
</file>

<file path=customXml/itemProps30.xml><?xml version="1.0" encoding="utf-8"?>
<ds:datastoreItem xmlns:ds="http://schemas.openxmlformats.org/officeDocument/2006/customXml" ds:itemID="{F3201683-9958-4BA3-8B44-62800A0B9238}">
  <ds:schemaRefs/>
</ds:datastoreItem>
</file>

<file path=customXml/itemProps31.xml><?xml version="1.0" encoding="utf-8"?>
<ds:datastoreItem xmlns:ds="http://schemas.openxmlformats.org/officeDocument/2006/customXml" ds:itemID="{EAF25244-46B8-4157-BBB3-D78A850A7BC8}">
  <ds:schemaRefs/>
</ds:datastoreItem>
</file>

<file path=customXml/itemProps32.xml><?xml version="1.0" encoding="utf-8"?>
<ds:datastoreItem xmlns:ds="http://schemas.openxmlformats.org/officeDocument/2006/customXml" ds:itemID="{78949F69-DFFB-4D15-AF67-40DAD897909C}">
  <ds:schemaRefs/>
</ds:datastoreItem>
</file>

<file path=customXml/itemProps33.xml><?xml version="1.0" encoding="utf-8"?>
<ds:datastoreItem xmlns:ds="http://schemas.openxmlformats.org/officeDocument/2006/customXml" ds:itemID="{B38AC1E6-271A-4899-8B11-588DD299E884}">
  <ds:schemaRefs/>
</ds:datastoreItem>
</file>

<file path=customXml/itemProps34.xml><?xml version="1.0" encoding="utf-8"?>
<ds:datastoreItem xmlns:ds="http://schemas.openxmlformats.org/officeDocument/2006/customXml" ds:itemID="{806F575B-3495-425C-8415-97D353421830}">
  <ds:schemaRefs/>
</ds:datastoreItem>
</file>

<file path=customXml/itemProps35.xml><?xml version="1.0" encoding="utf-8"?>
<ds:datastoreItem xmlns:ds="http://schemas.openxmlformats.org/officeDocument/2006/customXml" ds:itemID="{5EA808C1-10F5-4C4B-8D09-913FEAFA4488}">
  <ds:schemaRefs/>
</ds:datastoreItem>
</file>

<file path=customXml/itemProps36.xml><?xml version="1.0" encoding="utf-8"?>
<ds:datastoreItem xmlns:ds="http://schemas.openxmlformats.org/officeDocument/2006/customXml" ds:itemID="{9C080E55-AA18-4E9F-9405-ABADACC76767}">
  <ds:schemaRefs/>
</ds:datastoreItem>
</file>

<file path=customXml/itemProps37.xml><?xml version="1.0" encoding="utf-8"?>
<ds:datastoreItem xmlns:ds="http://schemas.openxmlformats.org/officeDocument/2006/customXml" ds:itemID="{1F3DD5EA-BDB2-4E3C-BBBB-55CE313924FA}">
  <ds:schemaRefs/>
</ds:datastoreItem>
</file>

<file path=customXml/itemProps38.xml><?xml version="1.0" encoding="utf-8"?>
<ds:datastoreItem xmlns:ds="http://schemas.openxmlformats.org/officeDocument/2006/customXml" ds:itemID="{0AB92352-982C-42E7-A074-D80678E17F05}">
  <ds:schemaRefs/>
</ds:datastoreItem>
</file>

<file path=customXml/itemProps39.xml><?xml version="1.0" encoding="utf-8"?>
<ds:datastoreItem xmlns:ds="http://schemas.openxmlformats.org/officeDocument/2006/customXml" ds:itemID="{4478FDC5-D6FB-4CB2-AAA1-863C895B6DF0}">
  <ds:schemaRefs/>
</ds:datastoreItem>
</file>

<file path=customXml/itemProps4.xml><?xml version="1.0" encoding="utf-8"?>
<ds:datastoreItem xmlns:ds="http://schemas.openxmlformats.org/officeDocument/2006/customXml" ds:itemID="{6FD0CF97-2CFD-4F4C-AA53-C6DFB9466F51}">
  <ds:schemaRefs/>
</ds:datastoreItem>
</file>

<file path=customXml/itemProps40.xml><?xml version="1.0" encoding="utf-8"?>
<ds:datastoreItem xmlns:ds="http://schemas.openxmlformats.org/officeDocument/2006/customXml" ds:itemID="{8C8C4E15-CAC5-4EF0-8D3C-0FBD8813F237}">
  <ds:schemaRefs/>
</ds:datastoreItem>
</file>

<file path=customXml/itemProps41.xml><?xml version="1.0" encoding="utf-8"?>
<ds:datastoreItem xmlns:ds="http://schemas.openxmlformats.org/officeDocument/2006/customXml" ds:itemID="{8814853C-F12E-4124-A187-526D0A34725B}">
  <ds:schemaRefs/>
</ds:datastoreItem>
</file>

<file path=customXml/itemProps42.xml><?xml version="1.0" encoding="utf-8"?>
<ds:datastoreItem xmlns:ds="http://schemas.openxmlformats.org/officeDocument/2006/customXml" ds:itemID="{BB83BFC4-2B28-432A-AA68-636B48CFAB01}">
  <ds:schemaRefs/>
</ds:datastoreItem>
</file>

<file path=customXml/itemProps43.xml><?xml version="1.0" encoding="utf-8"?>
<ds:datastoreItem xmlns:ds="http://schemas.openxmlformats.org/officeDocument/2006/customXml" ds:itemID="{F6B8E1AE-34B6-4F91-8273-E328990B151D}">
  <ds:schemaRefs/>
</ds:datastoreItem>
</file>

<file path=customXml/itemProps44.xml><?xml version="1.0" encoding="utf-8"?>
<ds:datastoreItem xmlns:ds="http://schemas.openxmlformats.org/officeDocument/2006/customXml" ds:itemID="{12537549-00CA-48F7-A89C-A130322B0ACD}">
  <ds:schemaRefs/>
</ds:datastoreItem>
</file>

<file path=customXml/itemProps45.xml><?xml version="1.0" encoding="utf-8"?>
<ds:datastoreItem xmlns:ds="http://schemas.openxmlformats.org/officeDocument/2006/customXml" ds:itemID="{8715224F-0328-49B8-90A4-D317A8609834}">
  <ds:schemaRefs/>
</ds:datastoreItem>
</file>

<file path=customXml/itemProps46.xml><?xml version="1.0" encoding="utf-8"?>
<ds:datastoreItem xmlns:ds="http://schemas.openxmlformats.org/officeDocument/2006/customXml" ds:itemID="{45B51ACF-60BE-4962-B247-C63FC125713B}">
  <ds:schemaRefs/>
</ds:datastoreItem>
</file>

<file path=customXml/itemProps47.xml><?xml version="1.0" encoding="utf-8"?>
<ds:datastoreItem xmlns:ds="http://schemas.openxmlformats.org/officeDocument/2006/customXml" ds:itemID="{B5FEC1A2-4DD1-449D-9F19-35B468E084B8}">
  <ds:schemaRefs/>
</ds:datastoreItem>
</file>

<file path=customXml/itemProps48.xml><?xml version="1.0" encoding="utf-8"?>
<ds:datastoreItem xmlns:ds="http://schemas.openxmlformats.org/officeDocument/2006/customXml" ds:itemID="{76D5E97D-6906-464F-9542-309D3ABA8ECB}">
  <ds:schemaRefs/>
</ds:datastoreItem>
</file>

<file path=customXml/itemProps49.xml><?xml version="1.0" encoding="utf-8"?>
<ds:datastoreItem xmlns:ds="http://schemas.openxmlformats.org/officeDocument/2006/customXml" ds:itemID="{5ABF7EA7-0BF7-4816-801D-BA4F5B01DB20}">
  <ds:schemaRefs/>
</ds:datastoreItem>
</file>

<file path=customXml/itemProps5.xml><?xml version="1.0" encoding="utf-8"?>
<ds:datastoreItem xmlns:ds="http://schemas.openxmlformats.org/officeDocument/2006/customXml" ds:itemID="{BA89D337-DC9F-4C61-85D5-58CC31EAFBA9}">
  <ds:schemaRefs/>
</ds:datastoreItem>
</file>

<file path=customXml/itemProps50.xml><?xml version="1.0" encoding="utf-8"?>
<ds:datastoreItem xmlns:ds="http://schemas.openxmlformats.org/officeDocument/2006/customXml" ds:itemID="{60E3B889-F36B-48B3-891D-F856D051F097}">
  <ds:schemaRefs/>
</ds:datastoreItem>
</file>

<file path=customXml/itemProps51.xml><?xml version="1.0" encoding="utf-8"?>
<ds:datastoreItem xmlns:ds="http://schemas.openxmlformats.org/officeDocument/2006/customXml" ds:itemID="{1625BA03-6B97-48B4-9FAB-B74BD6BFC242}">
  <ds:schemaRefs/>
</ds:datastoreItem>
</file>

<file path=customXml/itemProps52.xml><?xml version="1.0" encoding="utf-8"?>
<ds:datastoreItem xmlns:ds="http://schemas.openxmlformats.org/officeDocument/2006/customXml" ds:itemID="{49538F63-B265-4625-9DE2-913421DFA085}">
  <ds:schemaRefs/>
</ds:datastoreItem>
</file>

<file path=customXml/itemProps53.xml><?xml version="1.0" encoding="utf-8"?>
<ds:datastoreItem xmlns:ds="http://schemas.openxmlformats.org/officeDocument/2006/customXml" ds:itemID="{1C62CF1C-E25F-40EE-86C9-8DFBD79FB4FA}">
  <ds:schemaRefs/>
</ds:datastoreItem>
</file>

<file path=customXml/itemProps54.xml><?xml version="1.0" encoding="utf-8"?>
<ds:datastoreItem xmlns:ds="http://schemas.openxmlformats.org/officeDocument/2006/customXml" ds:itemID="{5A2CBBD8-F259-4FBA-896F-E4CFD75AA146}">
  <ds:schemaRefs/>
</ds:datastoreItem>
</file>

<file path=customXml/itemProps55.xml><?xml version="1.0" encoding="utf-8"?>
<ds:datastoreItem xmlns:ds="http://schemas.openxmlformats.org/officeDocument/2006/customXml" ds:itemID="{8E97A835-5F1F-4F5A-9218-9F4E63287C36}">
  <ds:schemaRefs/>
</ds:datastoreItem>
</file>

<file path=customXml/itemProps56.xml><?xml version="1.0" encoding="utf-8"?>
<ds:datastoreItem xmlns:ds="http://schemas.openxmlformats.org/officeDocument/2006/customXml" ds:itemID="{D1B442FD-E4CC-4C25-BD7E-482437DF03C8}">
  <ds:schemaRefs/>
</ds:datastoreItem>
</file>

<file path=customXml/itemProps57.xml><?xml version="1.0" encoding="utf-8"?>
<ds:datastoreItem xmlns:ds="http://schemas.openxmlformats.org/officeDocument/2006/customXml" ds:itemID="{C8D0D013-2F0A-4479-83CA-F6C5F858BEC2}">
  <ds:schemaRefs/>
</ds:datastoreItem>
</file>

<file path=customXml/itemProps58.xml><?xml version="1.0" encoding="utf-8"?>
<ds:datastoreItem xmlns:ds="http://schemas.openxmlformats.org/officeDocument/2006/customXml" ds:itemID="{336C1377-D0A6-4663-96BC-001E7760B808}">
  <ds:schemaRefs/>
</ds:datastoreItem>
</file>

<file path=customXml/itemProps59.xml><?xml version="1.0" encoding="utf-8"?>
<ds:datastoreItem xmlns:ds="http://schemas.openxmlformats.org/officeDocument/2006/customXml" ds:itemID="{0D99636E-4563-4EF5-BE7D-5CCD6E1BE0DE}">
  <ds:schemaRefs/>
</ds:datastoreItem>
</file>

<file path=customXml/itemProps6.xml><?xml version="1.0" encoding="utf-8"?>
<ds:datastoreItem xmlns:ds="http://schemas.openxmlformats.org/officeDocument/2006/customXml" ds:itemID="{65DCC931-106D-46B1-8CB7-D70FCBBE17A4}">
  <ds:schemaRefs/>
</ds:datastoreItem>
</file>

<file path=customXml/itemProps60.xml><?xml version="1.0" encoding="utf-8"?>
<ds:datastoreItem xmlns:ds="http://schemas.openxmlformats.org/officeDocument/2006/customXml" ds:itemID="{F8B21AD8-7AAE-4E4A-A0F2-BD4F9D3EE078}">
  <ds:schemaRefs/>
</ds:datastoreItem>
</file>

<file path=customXml/itemProps61.xml><?xml version="1.0" encoding="utf-8"?>
<ds:datastoreItem xmlns:ds="http://schemas.openxmlformats.org/officeDocument/2006/customXml" ds:itemID="{E719DB80-C1EE-47A5-9EFE-25270CDD6C9E}">
  <ds:schemaRefs/>
</ds:datastoreItem>
</file>

<file path=customXml/itemProps62.xml><?xml version="1.0" encoding="utf-8"?>
<ds:datastoreItem xmlns:ds="http://schemas.openxmlformats.org/officeDocument/2006/customXml" ds:itemID="{5AD0F297-F222-4337-B0A4-930FC8D21309}">
  <ds:schemaRefs/>
</ds:datastoreItem>
</file>

<file path=customXml/itemProps63.xml><?xml version="1.0" encoding="utf-8"?>
<ds:datastoreItem xmlns:ds="http://schemas.openxmlformats.org/officeDocument/2006/customXml" ds:itemID="{EC8EC254-9FFA-466C-9F63-487D83D82C90}">
  <ds:schemaRefs/>
</ds:datastoreItem>
</file>

<file path=customXml/itemProps64.xml><?xml version="1.0" encoding="utf-8"?>
<ds:datastoreItem xmlns:ds="http://schemas.openxmlformats.org/officeDocument/2006/customXml" ds:itemID="{14F95DB1-9870-495A-A093-2F9A41927E4A}">
  <ds:schemaRefs/>
</ds:datastoreItem>
</file>

<file path=customXml/itemProps65.xml><?xml version="1.0" encoding="utf-8"?>
<ds:datastoreItem xmlns:ds="http://schemas.openxmlformats.org/officeDocument/2006/customXml" ds:itemID="{73988590-C5FF-4825-B6AC-3A7F0D2980A3}">
  <ds:schemaRefs/>
</ds:datastoreItem>
</file>

<file path=customXml/itemProps66.xml><?xml version="1.0" encoding="utf-8"?>
<ds:datastoreItem xmlns:ds="http://schemas.openxmlformats.org/officeDocument/2006/customXml" ds:itemID="{AD08087F-C140-45CC-82A5-F01573365D30}">
  <ds:schemaRefs/>
</ds:datastoreItem>
</file>

<file path=customXml/itemProps67.xml><?xml version="1.0" encoding="utf-8"?>
<ds:datastoreItem xmlns:ds="http://schemas.openxmlformats.org/officeDocument/2006/customXml" ds:itemID="{361932EA-3E6E-4A3C-B184-99337652D87E}">
  <ds:schemaRefs/>
</ds:datastoreItem>
</file>

<file path=customXml/itemProps68.xml><?xml version="1.0" encoding="utf-8"?>
<ds:datastoreItem xmlns:ds="http://schemas.openxmlformats.org/officeDocument/2006/customXml" ds:itemID="{F9C04381-7BB6-480C-865F-62E53122E7A9}">
  <ds:schemaRefs/>
</ds:datastoreItem>
</file>

<file path=customXml/itemProps69.xml><?xml version="1.0" encoding="utf-8"?>
<ds:datastoreItem xmlns:ds="http://schemas.openxmlformats.org/officeDocument/2006/customXml" ds:itemID="{431EF72B-C73E-48B2-9ECF-F5763824BCA7}">
  <ds:schemaRefs/>
</ds:datastoreItem>
</file>

<file path=customXml/itemProps7.xml><?xml version="1.0" encoding="utf-8"?>
<ds:datastoreItem xmlns:ds="http://schemas.openxmlformats.org/officeDocument/2006/customXml" ds:itemID="{9BFABFF0-FFE5-4A45-A105-1C824C35CB32}">
  <ds:schemaRefs/>
</ds:datastoreItem>
</file>

<file path=customXml/itemProps70.xml><?xml version="1.0" encoding="utf-8"?>
<ds:datastoreItem xmlns:ds="http://schemas.openxmlformats.org/officeDocument/2006/customXml" ds:itemID="{AA70EDEF-045D-44AC-A40E-42AF1F0EE5AC}">
  <ds:schemaRefs/>
</ds:datastoreItem>
</file>

<file path=customXml/itemProps71.xml><?xml version="1.0" encoding="utf-8"?>
<ds:datastoreItem xmlns:ds="http://schemas.openxmlformats.org/officeDocument/2006/customXml" ds:itemID="{4BAC539E-A384-4924-BE0F-83AF2AA2101D}">
  <ds:schemaRefs/>
</ds:datastoreItem>
</file>

<file path=customXml/itemProps72.xml><?xml version="1.0" encoding="utf-8"?>
<ds:datastoreItem xmlns:ds="http://schemas.openxmlformats.org/officeDocument/2006/customXml" ds:itemID="{E710F5DF-8B9F-4C52-8EED-0172C9235DB5}">
  <ds:schemaRefs/>
</ds:datastoreItem>
</file>

<file path=customXml/itemProps73.xml><?xml version="1.0" encoding="utf-8"?>
<ds:datastoreItem xmlns:ds="http://schemas.openxmlformats.org/officeDocument/2006/customXml" ds:itemID="{919C7B8E-F51F-4AE8-A3B8-2C45D4C29188}">
  <ds:schemaRefs/>
</ds:datastoreItem>
</file>

<file path=customXml/itemProps74.xml><?xml version="1.0" encoding="utf-8"?>
<ds:datastoreItem xmlns:ds="http://schemas.openxmlformats.org/officeDocument/2006/customXml" ds:itemID="{636FA558-ADD7-4737-8B14-4720C1225A91}">
  <ds:schemaRefs/>
</ds:datastoreItem>
</file>

<file path=customXml/itemProps8.xml><?xml version="1.0" encoding="utf-8"?>
<ds:datastoreItem xmlns:ds="http://schemas.openxmlformats.org/officeDocument/2006/customXml" ds:itemID="{DA52C6E8-9897-4C73-BC52-C593C0CB2CAF}">
  <ds:schemaRefs/>
</ds:datastoreItem>
</file>

<file path=customXml/itemProps9.xml><?xml version="1.0" encoding="utf-8"?>
<ds:datastoreItem xmlns:ds="http://schemas.openxmlformats.org/officeDocument/2006/customXml" ds:itemID="{C76E9BF4-C4A5-435D-BC37-457A5B05CAC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Summary</vt:lpstr>
      <vt:lpstr>A&amp;E diverts</vt:lpstr>
      <vt:lpstr>G&amp;A bed avail.</vt:lpstr>
      <vt:lpstr>G&amp;A bed occ.</vt:lpstr>
      <vt:lpstr>Long stay</vt:lpstr>
      <vt:lpstr>D&amp;V</vt:lpstr>
      <vt:lpstr>Critical care</vt:lpstr>
      <vt:lpstr>PICU</vt:lpstr>
      <vt:lpstr>NICU</vt:lpstr>
      <vt:lpstr>Ambulance</vt:lpstr>
      <vt:lpstr>Sheet1</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 Gulliver</dc:creator>
  <cp:lastModifiedBy>Jake Lashbrook Admin</cp:lastModifiedBy>
  <cp:lastPrinted>2017-12-11T11:22:53Z</cp:lastPrinted>
  <dcterms:created xsi:type="dcterms:W3CDTF">2017-12-11T11:20:09Z</dcterms:created>
  <dcterms:modified xsi:type="dcterms:W3CDTF">2020-03-05T14:01:54Z</dcterms:modified>
</cp:coreProperties>
</file>